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55" yWindow="-180" windowWidth="22440" windowHeight="10155" firstSheet="5" activeTab="9"/>
  </bookViews>
  <sheets>
    <sheet name="Index" sheetId="6" r:id="rId1"/>
    <sheet name="Input Global" sheetId="4" r:id="rId2"/>
    <sheet name="Input Frontier" sheetId="21" r:id="rId3"/>
    <sheet name="Input General" sheetId="5" r:id="rId4"/>
    <sheet name="Calc (Jurisdiction)" sheetId="1" r:id="rId5"/>
    <sheet name="Calc (LRMC Planning case)" sheetId="15" r:id="rId6"/>
    <sheet name="Calc (LRMC Slow Rate)" sheetId="16" r:id="rId7"/>
    <sheet name="Calc (Market Planning Case)" sheetId="17" r:id="rId8"/>
    <sheet name="Calc (Market Slow Rate)" sheetId="18" r:id="rId9"/>
    <sheet name="Output" sheetId="2" r:id="rId10"/>
  </sheets>
  <externalReferences>
    <externalReference r:id="rId11"/>
    <externalReference r:id="rId12"/>
  </externalReferences>
  <definedNames>
    <definedName name="Dist1">'Input Global'!$B$8</definedName>
    <definedName name="Dist1Frontier">'Input General'!$A$274:$H$278</definedName>
    <definedName name="dist1LRET">'Input General'!$A$318:$H$322</definedName>
    <definedName name="dist1Retail">'Input General'!$A$235:$H$244</definedName>
    <definedName name="dist1scheme1">'Input General'!$A$345:$H$349</definedName>
    <definedName name="dist1scheme2">'Input General'!$A$367:$H$371</definedName>
    <definedName name="dist1wholesale">'Input General'!$A$196:$H$200</definedName>
    <definedName name="Dist1X">'Input Global'!$H$41</definedName>
    <definedName name="Dist2">'Input Global'!$B$9</definedName>
    <definedName name="dist2frontier">'Input General'!$A$281:$H$285</definedName>
    <definedName name="Dist2LRET">'Input General'!$A$325:$H$329</definedName>
    <definedName name="dist2Retail">'Input General'!$A$247:$H$255</definedName>
    <definedName name="dist2scheme1">'Input General'!$A$352:$H$356</definedName>
    <definedName name="dist2scheme2">'Input General'!$A$374:$H$378</definedName>
    <definedName name="dist2wholesale">'Input General'!$A$202:$H$206</definedName>
    <definedName name="Dist2X">'Input Global'!$H$42</definedName>
    <definedName name="Dist3">'Input Global'!$B$10</definedName>
    <definedName name="dist3frontier">'Input General'!$A$288:$H$292</definedName>
    <definedName name="Dist3LRET">'Input General'!$A$332:$H$336</definedName>
    <definedName name="dist3retail">'Input General'!$A$258:$H$266</definedName>
    <definedName name="dist3scheme1">'Input General'!$A$359:$H$363</definedName>
    <definedName name="dist3scheme2">'Input General'!$A$381:$H$385</definedName>
    <definedName name="dist3wholesale">'Input General'!$A$208:$H$212</definedName>
    <definedName name="Dist3X">'Input Global'!$H$43</definedName>
    <definedName name="Dist4">'Input Global'!$B$11</definedName>
    <definedName name="Dist4frontier">'Input General'!#REF!</definedName>
    <definedName name="Dist4LRET">'Input General'!#REF!</definedName>
    <definedName name="dist4retail">'Input General'!#REF!</definedName>
    <definedName name="dist4scheme1">'Input General'!#REF!</definedName>
    <definedName name="dist4scheme2">'Input General'!#REF!</definedName>
    <definedName name="dist4wholesale">'Input General'!#REF!</definedName>
    <definedName name="Dist4X">'Input Global'!$H$44</definedName>
    <definedName name="Dist5">'Input Global'!$B$12</definedName>
    <definedName name="dist5frontier">'Input General'!#REF!</definedName>
    <definedName name="Dist5LRET">'Input General'!#REF!</definedName>
    <definedName name="dist5retail">'Input General'!#REF!</definedName>
    <definedName name="dist5scheme1">'Input General'!#REF!</definedName>
    <definedName name="dist5scheme2">'Input General'!#REF!</definedName>
    <definedName name="dist5wholesale">'Input General'!#REF!</definedName>
    <definedName name="Dist5X">'Input Global'!$H$45</definedName>
    <definedName name="inflation">'Input Global'!$G$15</definedName>
    <definedName name="inflation2012">'[1]Input Global'!$E$15</definedName>
    <definedName name="margin">'[2]NSW Retail Input'!$C$3</definedName>
    <definedName name="_xlnm.Print_Area" localSheetId="4">'Calc (Jurisdiction)'!$A$1:$I$164</definedName>
    <definedName name="_xlnm.Print_Area" localSheetId="5">'Calc (LRMC Planning case)'!$A$1:$I$164</definedName>
    <definedName name="_xlnm.Print_Area" localSheetId="6">'Calc (LRMC Slow Rate)'!$A$1:$I$164</definedName>
    <definedName name="_xlnm.Print_Area" localSheetId="7">'Calc (Market Planning Case)'!$A$1:$I$164</definedName>
    <definedName name="_xlnm.Print_Area" localSheetId="8">'Calc (Market Slow Rate)'!$A$1:$I$164</definedName>
    <definedName name="_xlnm.Print_Area" localSheetId="0">Index!$A$1:$I$27</definedName>
    <definedName name="_xlnm.Print_Area" localSheetId="1">'Input Global'!$A$1:$I$65</definedName>
    <definedName name="_xlnm.Print_Area" localSheetId="9">Output!$A$1:$H$129</definedName>
    <definedName name="_xlnm.Print_Titles" localSheetId="4">'Calc (Jurisdiction)'!$1:$4</definedName>
    <definedName name="_xlnm.Print_Titles" localSheetId="5">'Calc (LRMC Planning case)'!$1:$4</definedName>
    <definedName name="_xlnm.Print_Titles" localSheetId="6">'Calc (LRMC Slow Rate)'!$1:$4</definedName>
    <definedName name="_xlnm.Print_Titles" localSheetId="7">'Calc (Market Planning Case)'!$1:$4</definedName>
    <definedName name="_xlnm.Print_Titles" localSheetId="8">'Calc (Market Slow Rate)'!$4:$4</definedName>
    <definedName name="_xlnm.Print_Titles" localSheetId="0">Index!$1:$4</definedName>
    <definedName name="_xlnm.Print_Titles" localSheetId="3">'Input General'!$1:$4</definedName>
    <definedName name="_xlnm.Print_Titles" localSheetId="1">'Input Global'!$1:$4</definedName>
    <definedName name="_xlnm.Print_Titles" localSheetId="9">Output!$4:$4</definedName>
    <definedName name="Scheme1">'Input Global'!$A$51</definedName>
    <definedName name="Scheme2">'Input Global'!$A$52</definedName>
    <definedName name="TNSP">'Input Global'!$A$40</definedName>
    <definedName name="Transmission">'Input Global'!$A$40</definedName>
  </definedNames>
  <calcPr calcId="145621"/>
</workbook>
</file>

<file path=xl/calcChain.xml><?xml version="1.0" encoding="utf-8"?>
<calcChain xmlns="http://schemas.openxmlformats.org/spreadsheetml/2006/main">
  <c r="A234" i="5" l="1"/>
  <c r="A52" i="1"/>
  <c r="E53" i="1" s="1"/>
  <c r="F53" i="1"/>
  <c r="D54" i="1"/>
  <c r="H54" i="1"/>
  <c r="F55" i="1"/>
  <c r="D56" i="1"/>
  <c r="H56" i="1"/>
  <c r="F57" i="1"/>
  <c r="E59" i="1"/>
  <c r="E60" i="1"/>
  <c r="E61" i="1"/>
  <c r="E62" i="1"/>
  <c r="G62" i="1"/>
  <c r="D63" i="1"/>
  <c r="F63" i="1"/>
  <c r="H63" i="1"/>
  <c r="E64" i="1"/>
  <c r="G64" i="1"/>
  <c r="A67" i="1"/>
  <c r="D68" i="1" s="1"/>
  <c r="E68" i="1"/>
  <c r="G68" i="1"/>
  <c r="D69" i="1"/>
  <c r="F69" i="1"/>
  <c r="H69" i="1"/>
  <c r="E70" i="1"/>
  <c r="G70" i="1"/>
  <c r="D71" i="1"/>
  <c r="F71" i="1"/>
  <c r="H71" i="1"/>
  <c r="E72" i="1"/>
  <c r="G72" i="1"/>
  <c r="D74" i="1"/>
  <c r="F74" i="1"/>
  <c r="H74" i="1"/>
  <c r="E75" i="1"/>
  <c r="G75" i="1"/>
  <c r="D76" i="1"/>
  <c r="F76" i="1"/>
  <c r="H76" i="1"/>
  <c r="E77" i="1"/>
  <c r="G77" i="1"/>
  <c r="D78" i="1"/>
  <c r="F78" i="1"/>
  <c r="H78" i="1"/>
  <c r="E79" i="1"/>
  <c r="G79" i="1"/>
  <c r="A52" i="18"/>
  <c r="E53" i="18" s="1"/>
  <c r="D53" i="18"/>
  <c r="F53" i="18"/>
  <c r="H53" i="18"/>
  <c r="D54" i="18"/>
  <c r="F54" i="18"/>
  <c r="H54" i="18"/>
  <c r="D55" i="18"/>
  <c r="F55" i="18"/>
  <c r="H55" i="18"/>
  <c r="D56" i="18"/>
  <c r="F56" i="18"/>
  <c r="H56" i="18"/>
  <c r="D57" i="18"/>
  <c r="F57" i="18"/>
  <c r="H57" i="18"/>
  <c r="E59" i="18"/>
  <c r="G59" i="18"/>
  <c r="E60" i="18"/>
  <c r="G60" i="18"/>
  <c r="E61" i="18"/>
  <c r="G61" i="18"/>
  <c r="E62" i="18"/>
  <c r="G62" i="18"/>
  <c r="E63" i="18"/>
  <c r="G63" i="18"/>
  <c r="E64" i="18"/>
  <c r="G64" i="18"/>
  <c r="A67" i="18"/>
  <c r="D68" i="18"/>
  <c r="E68" i="18"/>
  <c r="F68" i="18"/>
  <c r="G68" i="18"/>
  <c r="H68" i="18"/>
  <c r="D69" i="18"/>
  <c r="E69" i="18"/>
  <c r="F69" i="18"/>
  <c r="G69" i="18"/>
  <c r="H69" i="18"/>
  <c r="D70" i="18"/>
  <c r="E70" i="18"/>
  <c r="F70" i="18"/>
  <c r="G70" i="18"/>
  <c r="H70" i="18"/>
  <c r="D71" i="18"/>
  <c r="E71" i="18"/>
  <c r="F71" i="18"/>
  <c r="G71" i="18"/>
  <c r="H71" i="18"/>
  <c r="D72" i="18"/>
  <c r="E72" i="18"/>
  <c r="F72" i="18"/>
  <c r="G72" i="18"/>
  <c r="H72" i="18"/>
  <c r="D74" i="18"/>
  <c r="E74" i="18"/>
  <c r="F74" i="18"/>
  <c r="G74" i="18"/>
  <c r="H74" i="18"/>
  <c r="D75" i="18"/>
  <c r="E75" i="18"/>
  <c r="F75" i="18"/>
  <c r="G75" i="18"/>
  <c r="H75" i="18"/>
  <c r="D76" i="18"/>
  <c r="E76" i="18"/>
  <c r="F76" i="18"/>
  <c r="G76" i="18"/>
  <c r="H76" i="18"/>
  <c r="D77" i="18"/>
  <c r="E77" i="18"/>
  <c r="F77" i="18"/>
  <c r="G77" i="18"/>
  <c r="H77" i="18"/>
  <c r="D78" i="18"/>
  <c r="E78" i="18"/>
  <c r="F78" i="18"/>
  <c r="G78" i="18"/>
  <c r="H78" i="18"/>
  <c r="D79" i="18"/>
  <c r="E79" i="18"/>
  <c r="F79" i="18"/>
  <c r="G79" i="18"/>
  <c r="H79" i="18"/>
  <c r="A52" i="17"/>
  <c r="D53" i="17"/>
  <c r="F53" i="17"/>
  <c r="H53" i="17"/>
  <c r="D54" i="17"/>
  <c r="E54" i="17"/>
  <c r="F54" i="17"/>
  <c r="G54" i="17"/>
  <c r="H54" i="17"/>
  <c r="D55" i="17"/>
  <c r="E55" i="17"/>
  <c r="F55" i="17"/>
  <c r="G55" i="17"/>
  <c r="H55" i="17"/>
  <c r="D56" i="17"/>
  <c r="E56" i="17"/>
  <c r="F56" i="17"/>
  <c r="G56" i="17"/>
  <c r="H56" i="17"/>
  <c r="D57" i="17"/>
  <c r="E57" i="17"/>
  <c r="F57" i="17"/>
  <c r="G57" i="17"/>
  <c r="H57" i="17"/>
  <c r="D59" i="17"/>
  <c r="E59" i="17"/>
  <c r="F59" i="17"/>
  <c r="G59" i="17"/>
  <c r="H59" i="17"/>
  <c r="D60" i="17"/>
  <c r="E60" i="17"/>
  <c r="F60" i="17"/>
  <c r="G60" i="17"/>
  <c r="H60" i="17"/>
  <c r="D61" i="17"/>
  <c r="E61" i="17"/>
  <c r="F61" i="17"/>
  <c r="G61" i="17"/>
  <c r="H61" i="17"/>
  <c r="D62" i="17"/>
  <c r="E62" i="17"/>
  <c r="F62" i="17"/>
  <c r="G62" i="17"/>
  <c r="H62" i="17"/>
  <c r="D63" i="17"/>
  <c r="E63" i="17"/>
  <c r="F63" i="17"/>
  <c r="G63" i="17"/>
  <c r="H63" i="17"/>
  <c r="D64" i="17"/>
  <c r="E64" i="17"/>
  <c r="F64" i="17"/>
  <c r="G64" i="17"/>
  <c r="H64" i="17"/>
  <c r="A67" i="17"/>
  <c r="E68" i="17" s="1"/>
  <c r="G68" i="17"/>
  <c r="F69" i="17"/>
  <c r="E70" i="17"/>
  <c r="D71" i="17"/>
  <c r="H71" i="17"/>
  <c r="G72" i="17"/>
  <c r="F74" i="17"/>
  <c r="E75" i="17"/>
  <c r="D76" i="17"/>
  <c r="H76" i="17"/>
  <c r="G77" i="17"/>
  <c r="F78" i="17"/>
  <c r="E79" i="17"/>
  <c r="A52" i="16"/>
  <c r="E53" i="16" s="1"/>
  <c r="D53" i="16"/>
  <c r="F53" i="16"/>
  <c r="H53" i="16"/>
  <c r="D54" i="16"/>
  <c r="F54" i="16"/>
  <c r="H54" i="16"/>
  <c r="D55" i="16"/>
  <c r="F55" i="16"/>
  <c r="H55" i="16"/>
  <c r="D56" i="16"/>
  <c r="F56" i="16"/>
  <c r="H56" i="16"/>
  <c r="D57" i="16"/>
  <c r="F57" i="16"/>
  <c r="H57" i="16"/>
  <c r="E59" i="16"/>
  <c r="G59" i="16"/>
  <c r="E60" i="16"/>
  <c r="G60" i="16"/>
  <c r="E61" i="16"/>
  <c r="F61" i="16"/>
  <c r="G61" i="16"/>
  <c r="H61" i="16"/>
  <c r="D62" i="16"/>
  <c r="E62" i="16"/>
  <c r="F62" i="16"/>
  <c r="G62" i="16"/>
  <c r="H62" i="16"/>
  <c r="D63" i="16"/>
  <c r="E63" i="16"/>
  <c r="F63" i="16"/>
  <c r="G63" i="16"/>
  <c r="H63" i="16"/>
  <c r="D64" i="16"/>
  <c r="E64" i="16"/>
  <c r="F64" i="16"/>
  <c r="G64" i="16"/>
  <c r="H64" i="16"/>
  <c r="A67" i="16"/>
  <c r="E68" i="16" s="1"/>
  <c r="G68" i="16"/>
  <c r="F69" i="16"/>
  <c r="E70" i="16"/>
  <c r="D71" i="16"/>
  <c r="G71" i="16"/>
  <c r="D72" i="16"/>
  <c r="F72" i="16"/>
  <c r="H72" i="16"/>
  <c r="E74" i="16"/>
  <c r="G74" i="16"/>
  <c r="D75" i="16"/>
  <c r="F75" i="16"/>
  <c r="H75" i="16"/>
  <c r="E76" i="16"/>
  <c r="G76" i="16"/>
  <c r="D77" i="16"/>
  <c r="F77" i="16"/>
  <c r="H77" i="16"/>
  <c r="E78" i="16"/>
  <c r="G78" i="16"/>
  <c r="D79" i="16"/>
  <c r="F79" i="16"/>
  <c r="H79" i="16"/>
  <c r="A52" i="15"/>
  <c r="F53" i="15" s="1"/>
  <c r="D54" i="15"/>
  <c r="F55" i="15"/>
  <c r="H56" i="15"/>
  <c r="E59" i="15"/>
  <c r="E61" i="15"/>
  <c r="E63" i="15"/>
  <c r="A67" i="15"/>
  <c r="E68" i="15" s="1"/>
  <c r="G68" i="15"/>
  <c r="F69" i="15"/>
  <c r="E70" i="15"/>
  <c r="D71" i="15"/>
  <c r="H71" i="15"/>
  <c r="G72" i="15"/>
  <c r="F74" i="15"/>
  <c r="E75" i="15"/>
  <c r="D76" i="15"/>
  <c r="H76" i="15"/>
  <c r="G77" i="15"/>
  <c r="F78" i="15"/>
  <c r="E79" i="15"/>
  <c r="A129" i="1"/>
  <c r="E130" i="1" s="1"/>
  <c r="F130" i="1"/>
  <c r="D131" i="1"/>
  <c r="H131" i="1"/>
  <c r="F132" i="1"/>
  <c r="D133" i="1"/>
  <c r="H133" i="1"/>
  <c r="F134" i="1"/>
  <c r="E136" i="1"/>
  <c r="E137" i="1"/>
  <c r="E138" i="1"/>
  <c r="D139" i="1"/>
  <c r="F139" i="1"/>
  <c r="H139" i="1"/>
  <c r="E140" i="1"/>
  <c r="G140" i="1"/>
  <c r="D141" i="1"/>
  <c r="F141" i="1"/>
  <c r="H141" i="1"/>
  <c r="A144" i="1"/>
  <c r="E145" i="1" s="1"/>
  <c r="G145" i="1"/>
  <c r="F146" i="1"/>
  <c r="H146" i="1"/>
  <c r="E147" i="1"/>
  <c r="G147" i="1"/>
  <c r="D148" i="1"/>
  <c r="F148" i="1"/>
  <c r="H148" i="1"/>
  <c r="E149" i="1"/>
  <c r="G149" i="1"/>
  <c r="D151" i="1"/>
  <c r="F151" i="1"/>
  <c r="H151" i="1"/>
  <c r="E152" i="1"/>
  <c r="G152" i="1"/>
  <c r="D153" i="1"/>
  <c r="F153" i="1"/>
  <c r="H153" i="1"/>
  <c r="E154" i="1"/>
  <c r="G154" i="1"/>
  <c r="D155" i="1"/>
  <c r="F155" i="1"/>
  <c r="H155" i="1"/>
  <c r="E156" i="1"/>
  <c r="G156" i="1"/>
  <c r="A129" i="18"/>
  <c r="E130" i="18" s="1"/>
  <c r="F130" i="18"/>
  <c r="D131" i="18"/>
  <c r="H131" i="18"/>
  <c r="F132" i="18"/>
  <c r="D133" i="18"/>
  <c r="H133" i="18"/>
  <c r="F134" i="18"/>
  <c r="E136" i="18"/>
  <c r="E137" i="18"/>
  <c r="E138" i="18"/>
  <c r="E139" i="18"/>
  <c r="E140" i="18"/>
  <c r="E141" i="18"/>
  <c r="A144" i="18"/>
  <c r="D145" i="18" s="1"/>
  <c r="E145" i="18"/>
  <c r="G145" i="18"/>
  <c r="D146" i="18"/>
  <c r="F146" i="18"/>
  <c r="H146" i="18"/>
  <c r="E147" i="18"/>
  <c r="G147" i="18"/>
  <c r="D148" i="18"/>
  <c r="F148" i="18"/>
  <c r="H148" i="18"/>
  <c r="E149" i="18"/>
  <c r="G149" i="18"/>
  <c r="D151" i="18"/>
  <c r="F151" i="18"/>
  <c r="H151" i="18"/>
  <c r="E152" i="18"/>
  <c r="G152" i="18"/>
  <c r="D153" i="18"/>
  <c r="F153" i="18"/>
  <c r="H153" i="18"/>
  <c r="E154" i="18"/>
  <c r="G154" i="18"/>
  <c r="D155" i="18"/>
  <c r="F155" i="18"/>
  <c r="H155" i="18"/>
  <c r="E156" i="18"/>
  <c r="G156" i="18"/>
  <c r="A129" i="17"/>
  <c r="D130" i="17"/>
  <c r="F130" i="17"/>
  <c r="H130" i="17"/>
  <c r="D131" i="17"/>
  <c r="E131" i="17"/>
  <c r="F131" i="17"/>
  <c r="G131" i="17"/>
  <c r="H131" i="17"/>
  <c r="D132" i="17"/>
  <c r="E132" i="17"/>
  <c r="F132" i="17"/>
  <c r="G132" i="17"/>
  <c r="H132" i="17"/>
  <c r="D133" i="17"/>
  <c r="E133" i="17"/>
  <c r="F133" i="17"/>
  <c r="G133" i="17"/>
  <c r="H133" i="17"/>
  <c r="D134" i="17"/>
  <c r="E134" i="17"/>
  <c r="F134" i="17"/>
  <c r="G134" i="17"/>
  <c r="H134" i="17"/>
  <c r="D136" i="17"/>
  <c r="E136" i="17"/>
  <c r="F136" i="17"/>
  <c r="G136" i="17"/>
  <c r="H136" i="17"/>
  <c r="D137" i="17"/>
  <c r="E137" i="17"/>
  <c r="F137" i="17"/>
  <c r="G137" i="17"/>
  <c r="H137" i="17"/>
  <c r="D138" i="17"/>
  <c r="E138" i="17"/>
  <c r="F138" i="17"/>
  <c r="G138" i="17"/>
  <c r="H138" i="17"/>
  <c r="D139" i="17"/>
  <c r="E139" i="17"/>
  <c r="F139" i="17"/>
  <c r="G139" i="17"/>
  <c r="H139" i="17"/>
  <c r="D140" i="17"/>
  <c r="E140" i="17"/>
  <c r="F140" i="17"/>
  <c r="G140" i="17"/>
  <c r="H140" i="17"/>
  <c r="D141" i="17"/>
  <c r="D142" i="17" s="1"/>
  <c r="E141" i="17"/>
  <c r="F141" i="17"/>
  <c r="G141" i="17"/>
  <c r="H141" i="17"/>
  <c r="H142" i="17" s="1"/>
  <c r="A144" i="17"/>
  <c r="E145" i="17" s="1"/>
  <c r="D145" i="17"/>
  <c r="F145" i="17"/>
  <c r="H145" i="17"/>
  <c r="D146" i="17"/>
  <c r="F146" i="17"/>
  <c r="H146" i="17"/>
  <c r="D147" i="17"/>
  <c r="F147" i="17"/>
  <c r="H147" i="17"/>
  <c r="D148" i="17"/>
  <c r="F148" i="17"/>
  <c r="H148" i="17"/>
  <c r="D149" i="17"/>
  <c r="E149" i="17"/>
  <c r="F149" i="17"/>
  <c r="G149" i="17"/>
  <c r="H149" i="17"/>
  <c r="D151" i="17"/>
  <c r="E151" i="17"/>
  <c r="F151" i="17"/>
  <c r="G151" i="17"/>
  <c r="H151" i="17"/>
  <c r="D152" i="17"/>
  <c r="E152" i="17"/>
  <c r="F152" i="17"/>
  <c r="G152" i="17"/>
  <c r="H152" i="17"/>
  <c r="D153" i="17"/>
  <c r="E153" i="17"/>
  <c r="F153" i="17"/>
  <c r="G153" i="17"/>
  <c r="H153" i="17"/>
  <c r="D154" i="17"/>
  <c r="E154" i="17"/>
  <c r="F154" i="17"/>
  <c r="G154" i="17"/>
  <c r="H154" i="17"/>
  <c r="D155" i="17"/>
  <c r="E155" i="17"/>
  <c r="F155" i="17"/>
  <c r="G155" i="17"/>
  <c r="H155" i="17"/>
  <c r="D156" i="17"/>
  <c r="E156" i="17"/>
  <c r="F156" i="17"/>
  <c r="G156" i="17"/>
  <c r="H156" i="17"/>
  <c r="A129" i="16"/>
  <c r="E130" i="16" s="1"/>
  <c r="G130" i="16"/>
  <c r="F131" i="16"/>
  <c r="E132" i="16"/>
  <c r="D133" i="16"/>
  <c r="H133" i="16"/>
  <c r="G134" i="16"/>
  <c r="F136" i="16"/>
  <c r="E137" i="16"/>
  <c r="D138" i="16"/>
  <c r="F138" i="16"/>
  <c r="H138" i="16"/>
  <c r="E139" i="16"/>
  <c r="G139" i="16"/>
  <c r="D140" i="16"/>
  <c r="F140" i="16"/>
  <c r="H140" i="16"/>
  <c r="E141" i="16"/>
  <c r="G141" i="16"/>
  <c r="A144" i="16"/>
  <c r="E145" i="16" s="1"/>
  <c r="E151" i="16"/>
  <c r="E153" i="16"/>
  <c r="E154" i="16"/>
  <c r="D155" i="16"/>
  <c r="H155" i="16"/>
  <c r="G156" i="16"/>
  <c r="A129" i="15"/>
  <c r="D130" i="15" s="1"/>
  <c r="G130" i="15"/>
  <c r="D131" i="15"/>
  <c r="F131" i="15"/>
  <c r="H131" i="15"/>
  <c r="E132" i="15"/>
  <c r="G132" i="15"/>
  <c r="D133" i="15"/>
  <c r="F133" i="15"/>
  <c r="H133" i="15"/>
  <c r="E134" i="15"/>
  <c r="G134" i="15"/>
  <c r="D136" i="15"/>
  <c r="F136" i="15"/>
  <c r="H136" i="15"/>
  <c r="E137" i="15"/>
  <c r="G137" i="15"/>
  <c r="D138" i="15"/>
  <c r="F138" i="15"/>
  <c r="H138" i="15"/>
  <c r="E139" i="15"/>
  <c r="G139" i="15"/>
  <c r="D140" i="15"/>
  <c r="F140" i="15"/>
  <c r="H140" i="15"/>
  <c r="E141" i="15"/>
  <c r="G141" i="15"/>
  <c r="A144" i="15"/>
  <c r="D145" i="15" s="1"/>
  <c r="G155" i="15"/>
  <c r="F65" i="17" l="1"/>
  <c r="D65" i="17"/>
  <c r="G80" i="18"/>
  <c r="H148" i="16"/>
  <c r="F147" i="16"/>
  <c r="D146" i="16"/>
  <c r="G156" i="15"/>
  <c r="G154" i="15"/>
  <c r="G152" i="15"/>
  <c r="H149" i="15"/>
  <c r="E156" i="16"/>
  <c r="F155" i="16"/>
  <c r="G154" i="16"/>
  <c r="H153" i="16"/>
  <c r="E152" i="16"/>
  <c r="F149" i="16"/>
  <c r="D148" i="16"/>
  <c r="H146" i="16"/>
  <c r="F145" i="16"/>
  <c r="H156" i="18"/>
  <c r="F156" i="18"/>
  <c r="D156" i="18"/>
  <c r="G155" i="18"/>
  <c r="E155" i="18"/>
  <c r="H154" i="18"/>
  <c r="F154" i="18"/>
  <c r="D154" i="18"/>
  <c r="G153" i="18"/>
  <c r="E153" i="18"/>
  <c r="H152" i="18"/>
  <c r="F152" i="18"/>
  <c r="D152" i="18"/>
  <c r="G151" i="18"/>
  <c r="E151" i="18"/>
  <c r="H149" i="18"/>
  <c r="F149" i="18"/>
  <c r="D149" i="18"/>
  <c r="G148" i="18"/>
  <c r="E148" i="18"/>
  <c r="H147" i="18"/>
  <c r="F147" i="18"/>
  <c r="D147" i="18"/>
  <c r="G146" i="18"/>
  <c r="G157" i="18" s="1"/>
  <c r="E146" i="18"/>
  <c r="H145" i="18"/>
  <c r="F145" i="18"/>
  <c r="G141" i="18"/>
  <c r="G140" i="18"/>
  <c r="G139" i="18"/>
  <c r="G138" i="18"/>
  <c r="G137" i="18"/>
  <c r="G136" i="18"/>
  <c r="H134" i="18"/>
  <c r="D134" i="18"/>
  <c r="F133" i="18"/>
  <c r="H132" i="18"/>
  <c r="D132" i="18"/>
  <c r="F131" i="18"/>
  <c r="H130" i="18"/>
  <c r="D130" i="18"/>
  <c r="H156" i="1"/>
  <c r="F156" i="1"/>
  <c r="D156" i="1"/>
  <c r="G155" i="1"/>
  <c r="E155" i="1"/>
  <c r="H154" i="1"/>
  <c r="F154" i="1"/>
  <c r="D154" i="1"/>
  <c r="G153" i="1"/>
  <c r="E153" i="1"/>
  <c r="H152" i="1"/>
  <c r="F152" i="1"/>
  <c r="D152" i="1"/>
  <c r="G151" i="1"/>
  <c r="E151" i="1"/>
  <c r="H149" i="1"/>
  <c r="F149" i="1"/>
  <c r="D149" i="1"/>
  <c r="G148" i="1"/>
  <c r="E148" i="1"/>
  <c r="H147" i="1"/>
  <c r="F147" i="1"/>
  <c r="D147" i="1"/>
  <c r="G146" i="1"/>
  <c r="D146" i="1"/>
  <c r="G79" i="15"/>
  <c r="H78" i="15"/>
  <c r="D78" i="15"/>
  <c r="E77" i="15"/>
  <c r="F76" i="15"/>
  <c r="G75" i="15"/>
  <c r="H74" i="15"/>
  <c r="D74" i="15"/>
  <c r="E72" i="15"/>
  <c r="F71" i="15"/>
  <c r="G70" i="15"/>
  <c r="H69" i="15"/>
  <c r="D69" i="15"/>
  <c r="E64" i="15"/>
  <c r="E62" i="15"/>
  <c r="E60" i="15"/>
  <c r="F57" i="15"/>
  <c r="D56" i="15"/>
  <c r="H54" i="15"/>
  <c r="G153" i="15"/>
  <c r="G151" i="15"/>
  <c r="D145" i="1"/>
  <c r="D157" i="1" s="1"/>
  <c r="F145" i="1"/>
  <c r="H145" i="1"/>
  <c r="H157" i="1" s="1"/>
  <c r="E146" i="1"/>
  <c r="D68" i="15"/>
  <c r="F68" i="15"/>
  <c r="H68" i="15"/>
  <c r="E69" i="15"/>
  <c r="G69" i="15"/>
  <c r="D70" i="15"/>
  <c r="F70" i="15"/>
  <c r="H70" i="15"/>
  <c r="E71" i="15"/>
  <c r="G71" i="15"/>
  <c r="D72" i="15"/>
  <c r="F72" i="15"/>
  <c r="H72" i="15"/>
  <c r="E74" i="15"/>
  <c r="G74" i="15"/>
  <c r="D75" i="15"/>
  <c r="F75" i="15"/>
  <c r="H75" i="15"/>
  <c r="E76" i="15"/>
  <c r="G76" i="15"/>
  <c r="D77" i="15"/>
  <c r="F77" i="15"/>
  <c r="H77" i="15"/>
  <c r="E78" i="15"/>
  <c r="G78" i="15"/>
  <c r="D79" i="15"/>
  <c r="F79" i="15"/>
  <c r="H79" i="15"/>
  <c r="E53" i="15"/>
  <c r="D53" i="15"/>
  <c r="H53" i="15"/>
  <c r="F54" i="15"/>
  <c r="D55" i="15"/>
  <c r="H55" i="15"/>
  <c r="F56" i="15"/>
  <c r="D57" i="15"/>
  <c r="H57" i="15"/>
  <c r="G59" i="15"/>
  <c r="G60" i="15"/>
  <c r="G61" i="15"/>
  <c r="G62" i="15"/>
  <c r="G63" i="15"/>
  <c r="G64" i="15"/>
  <c r="G79" i="16"/>
  <c r="E79" i="16"/>
  <c r="H78" i="16"/>
  <c r="F78" i="16"/>
  <c r="D78" i="16"/>
  <c r="G77" i="16"/>
  <c r="E77" i="16"/>
  <c r="H76" i="16"/>
  <c r="F76" i="16"/>
  <c r="D76" i="16"/>
  <c r="G75" i="16"/>
  <c r="E75" i="16"/>
  <c r="H74" i="16"/>
  <c r="F74" i="16"/>
  <c r="D74" i="16"/>
  <c r="G72" i="16"/>
  <c r="E72" i="16"/>
  <c r="H71" i="16"/>
  <c r="F71" i="16"/>
  <c r="G70" i="16"/>
  <c r="H69" i="16"/>
  <c r="D69" i="16"/>
  <c r="G79" i="17"/>
  <c r="H78" i="17"/>
  <c r="D78" i="17"/>
  <c r="E77" i="17"/>
  <c r="F76" i="17"/>
  <c r="G75" i="17"/>
  <c r="H74" i="17"/>
  <c r="D74" i="17"/>
  <c r="E72" i="17"/>
  <c r="F71" i="17"/>
  <c r="G70" i="17"/>
  <c r="H69" i="17"/>
  <c r="D69" i="17"/>
  <c r="D68" i="16"/>
  <c r="D80" i="16" s="1"/>
  <c r="F68" i="16"/>
  <c r="H68" i="16"/>
  <c r="H80" i="16" s="1"/>
  <c r="E69" i="16"/>
  <c r="G69" i="16"/>
  <c r="D70" i="16"/>
  <c r="F70" i="16"/>
  <c r="H70" i="16"/>
  <c r="E71" i="16"/>
  <c r="D68" i="17"/>
  <c r="F68" i="17"/>
  <c r="H68" i="17"/>
  <c r="E69" i="17"/>
  <c r="G69" i="17"/>
  <c r="D70" i="17"/>
  <c r="F70" i="17"/>
  <c r="H70" i="17"/>
  <c r="E71" i="17"/>
  <c r="G71" i="17"/>
  <c r="D72" i="17"/>
  <c r="F72" i="17"/>
  <c r="H72" i="17"/>
  <c r="E74" i="17"/>
  <c r="G74" i="17"/>
  <c r="D75" i="17"/>
  <c r="F75" i="17"/>
  <c r="H75" i="17"/>
  <c r="E76" i="17"/>
  <c r="G76" i="17"/>
  <c r="D77" i="17"/>
  <c r="F77" i="17"/>
  <c r="H77" i="17"/>
  <c r="E78" i="17"/>
  <c r="G78" i="17"/>
  <c r="D79" i="17"/>
  <c r="F79" i="17"/>
  <c r="H79" i="17"/>
  <c r="H65" i="17"/>
  <c r="H79" i="1"/>
  <c r="F79" i="1"/>
  <c r="D79" i="1"/>
  <c r="G78" i="1"/>
  <c r="E78" i="1"/>
  <c r="H77" i="1"/>
  <c r="F77" i="1"/>
  <c r="D77" i="1"/>
  <c r="G76" i="1"/>
  <c r="E76" i="1"/>
  <c r="H75" i="1"/>
  <c r="F75" i="1"/>
  <c r="D75" i="1"/>
  <c r="G74" i="1"/>
  <c r="E74" i="1"/>
  <c r="H72" i="1"/>
  <c r="F72" i="1"/>
  <c r="D72" i="1"/>
  <c r="G71" i="1"/>
  <c r="E71" i="1"/>
  <c r="H70" i="1"/>
  <c r="H80" i="1" s="1"/>
  <c r="F70" i="1"/>
  <c r="D70" i="1"/>
  <c r="D80" i="1" s="1"/>
  <c r="G69" i="1"/>
  <c r="E69" i="1"/>
  <c r="E80" i="1" s="1"/>
  <c r="H68" i="1"/>
  <c r="F68" i="1"/>
  <c r="H64" i="1"/>
  <c r="F64" i="1"/>
  <c r="D64" i="1"/>
  <c r="G63" i="1"/>
  <c r="E63" i="1"/>
  <c r="H62" i="1"/>
  <c r="F62" i="1"/>
  <c r="G61" i="1"/>
  <c r="G60" i="1"/>
  <c r="G59" i="1"/>
  <c r="H57" i="1"/>
  <c r="D57" i="1"/>
  <c r="F56" i="1"/>
  <c r="H55" i="1"/>
  <c r="D55" i="1"/>
  <c r="F54" i="1"/>
  <c r="H53" i="1"/>
  <c r="D53" i="1"/>
  <c r="F157" i="17"/>
  <c r="H80" i="15"/>
  <c r="D80" i="15"/>
  <c r="F80" i="16"/>
  <c r="E80" i="18"/>
  <c r="H80" i="17"/>
  <c r="D80" i="17"/>
  <c r="F80" i="1"/>
  <c r="D149" i="15"/>
  <c r="F148" i="15"/>
  <c r="H147" i="15"/>
  <c r="D147" i="15"/>
  <c r="E130" i="15"/>
  <c r="E156" i="15"/>
  <c r="E155" i="15"/>
  <c r="E154" i="15"/>
  <c r="E153" i="15"/>
  <c r="E152" i="15"/>
  <c r="E151" i="15"/>
  <c r="F149" i="15"/>
  <c r="H148" i="15"/>
  <c r="D148" i="15"/>
  <c r="F147" i="15"/>
  <c r="H146" i="15"/>
  <c r="H141" i="15"/>
  <c r="F141" i="15"/>
  <c r="D141" i="15"/>
  <c r="G140" i="15"/>
  <c r="E140" i="15"/>
  <c r="H139" i="15"/>
  <c r="F139" i="15"/>
  <c r="D139" i="15"/>
  <c r="G138" i="15"/>
  <c r="E138" i="15"/>
  <c r="H137" i="15"/>
  <c r="F137" i="15"/>
  <c r="D137" i="15"/>
  <c r="G136" i="15"/>
  <c r="E136" i="15"/>
  <c r="H134" i="15"/>
  <c r="F134" i="15"/>
  <c r="D134" i="15"/>
  <c r="G133" i="15"/>
  <c r="E133" i="15"/>
  <c r="H132" i="15"/>
  <c r="F132" i="15"/>
  <c r="D132" i="15"/>
  <c r="G131" i="15"/>
  <c r="E131" i="15"/>
  <c r="H130" i="15"/>
  <c r="F130" i="15"/>
  <c r="H156" i="16"/>
  <c r="F156" i="16"/>
  <c r="D156" i="16"/>
  <c r="G155" i="16"/>
  <c r="E155" i="16"/>
  <c r="H154" i="16"/>
  <c r="F154" i="16"/>
  <c r="D154" i="16"/>
  <c r="G153" i="16"/>
  <c r="G152" i="16"/>
  <c r="G151" i="16"/>
  <c r="H149" i="16"/>
  <c r="D149" i="16"/>
  <c r="F148" i="16"/>
  <c r="H147" i="16"/>
  <c r="D147" i="16"/>
  <c r="F146" i="16"/>
  <c r="H145" i="16"/>
  <c r="D145" i="16"/>
  <c r="H141" i="16"/>
  <c r="F141" i="16"/>
  <c r="D141" i="16"/>
  <c r="G140" i="16"/>
  <c r="E140" i="16"/>
  <c r="H139" i="16"/>
  <c r="F139" i="16"/>
  <c r="D139" i="16"/>
  <c r="G138" i="16"/>
  <c r="E138" i="16"/>
  <c r="G137" i="16"/>
  <c r="H136" i="16"/>
  <c r="D136" i="16"/>
  <c r="E134" i="16"/>
  <c r="F133" i="16"/>
  <c r="G132" i="16"/>
  <c r="H131" i="16"/>
  <c r="D131" i="16"/>
  <c r="F142" i="17"/>
  <c r="D130" i="16"/>
  <c r="F130" i="16"/>
  <c r="H130" i="16"/>
  <c r="E131" i="16"/>
  <c r="G131" i="16"/>
  <c r="D132" i="16"/>
  <c r="F132" i="16"/>
  <c r="H132" i="16"/>
  <c r="E133" i="16"/>
  <c r="G133" i="16"/>
  <c r="D134" i="16"/>
  <c r="F134" i="16"/>
  <c r="H134" i="16"/>
  <c r="E136" i="16"/>
  <c r="G136" i="16"/>
  <c r="D137" i="16"/>
  <c r="F137" i="16"/>
  <c r="H137" i="16"/>
  <c r="H157" i="17"/>
  <c r="D157" i="17"/>
  <c r="G141" i="1"/>
  <c r="E141" i="1"/>
  <c r="H140" i="1"/>
  <c r="F140" i="1"/>
  <c r="D140" i="1"/>
  <c r="G139" i="1"/>
  <c r="E139" i="1"/>
  <c r="G138" i="1"/>
  <c r="G137" i="1"/>
  <c r="G136" i="1"/>
  <c r="H134" i="1"/>
  <c r="D134" i="1"/>
  <c r="F133" i="1"/>
  <c r="H132" i="1"/>
  <c r="D132" i="1"/>
  <c r="F131" i="1"/>
  <c r="H130" i="1"/>
  <c r="D130" i="1"/>
  <c r="H64" i="15"/>
  <c r="F64" i="15"/>
  <c r="D64" i="15"/>
  <c r="H63" i="15"/>
  <c r="F63" i="15"/>
  <c r="D63" i="15"/>
  <c r="H62" i="15"/>
  <c r="F62" i="15"/>
  <c r="D62" i="15"/>
  <c r="H61" i="15"/>
  <c r="F61" i="15"/>
  <c r="D61" i="15"/>
  <c r="H60" i="15"/>
  <c r="F60" i="15"/>
  <c r="D60" i="15"/>
  <c r="H59" i="15"/>
  <c r="F59" i="15"/>
  <c r="D59" i="15"/>
  <c r="G57" i="15"/>
  <c r="E57" i="15"/>
  <c r="G56" i="15"/>
  <c r="E56" i="15"/>
  <c r="G55" i="15"/>
  <c r="E55" i="15"/>
  <c r="G54" i="15"/>
  <c r="E54" i="15"/>
  <c r="E65" i="15" s="1"/>
  <c r="G53" i="15"/>
  <c r="D61" i="16"/>
  <c r="H60" i="16"/>
  <c r="F60" i="16"/>
  <c r="D60" i="16"/>
  <c r="H59" i="16"/>
  <c r="F59" i="16"/>
  <c r="D59" i="16"/>
  <c r="G57" i="16"/>
  <c r="E57" i="16"/>
  <c r="G56" i="16"/>
  <c r="E56" i="16"/>
  <c r="G55" i="16"/>
  <c r="E55" i="16"/>
  <c r="G54" i="16"/>
  <c r="E54" i="16"/>
  <c r="E65" i="16" s="1"/>
  <c r="G53" i="16"/>
  <c r="G65" i="16" s="1"/>
  <c r="E53" i="17"/>
  <c r="E65" i="17" s="1"/>
  <c r="G53" i="17"/>
  <c r="G65" i="17" s="1"/>
  <c r="H80" i="18"/>
  <c r="F80" i="18"/>
  <c r="D80" i="18"/>
  <c r="F157" i="1"/>
  <c r="H64" i="18"/>
  <c r="F64" i="18"/>
  <c r="D64" i="18"/>
  <c r="H63" i="18"/>
  <c r="F63" i="18"/>
  <c r="D63" i="18"/>
  <c r="H62" i="18"/>
  <c r="F62" i="18"/>
  <c r="D62" i="18"/>
  <c r="H61" i="18"/>
  <c r="F61" i="18"/>
  <c r="D61" i="18"/>
  <c r="H60" i="18"/>
  <c r="F60" i="18"/>
  <c r="D60" i="18"/>
  <c r="H59" i="18"/>
  <c r="F59" i="18"/>
  <c r="D59" i="18"/>
  <c r="G57" i="18"/>
  <c r="E57" i="18"/>
  <c r="G56" i="18"/>
  <c r="E56" i="18"/>
  <c r="G55" i="18"/>
  <c r="E55" i="18"/>
  <c r="G54" i="18"/>
  <c r="E54" i="18"/>
  <c r="E65" i="18" s="1"/>
  <c r="G53" i="18"/>
  <c r="G65" i="18" s="1"/>
  <c r="D62" i="1"/>
  <c r="H61" i="1"/>
  <c r="F61" i="1"/>
  <c r="D61" i="1"/>
  <c r="H60" i="1"/>
  <c r="F60" i="1"/>
  <c r="D60" i="1"/>
  <c r="H59" i="1"/>
  <c r="F59" i="1"/>
  <c r="D59" i="1"/>
  <c r="G57" i="1"/>
  <c r="E57" i="1"/>
  <c r="G56" i="1"/>
  <c r="E56" i="1"/>
  <c r="G55" i="1"/>
  <c r="E55" i="1"/>
  <c r="G54" i="1"/>
  <c r="E54" i="1"/>
  <c r="E65" i="1" s="1"/>
  <c r="G53" i="1"/>
  <c r="H156" i="15"/>
  <c r="F156" i="15"/>
  <c r="D156" i="15"/>
  <c r="H155" i="15"/>
  <c r="F155" i="15"/>
  <c r="D155" i="15"/>
  <c r="H154" i="15"/>
  <c r="F154" i="15"/>
  <c r="D154" i="15"/>
  <c r="H153" i="15"/>
  <c r="F153" i="15"/>
  <c r="D153" i="15"/>
  <c r="H152" i="15"/>
  <c r="F152" i="15"/>
  <c r="D152" i="15"/>
  <c r="H151" i="15"/>
  <c r="F151" i="15"/>
  <c r="D151" i="15"/>
  <c r="G149" i="15"/>
  <c r="E149" i="15"/>
  <c r="G148" i="15"/>
  <c r="E148" i="15"/>
  <c r="G147" i="15"/>
  <c r="E147" i="15"/>
  <c r="G146" i="15"/>
  <c r="E146" i="15"/>
  <c r="G145" i="15"/>
  <c r="G157" i="15" s="1"/>
  <c r="E145" i="15"/>
  <c r="F153" i="16"/>
  <c r="D153" i="16"/>
  <c r="H152" i="16"/>
  <c r="F152" i="16"/>
  <c r="D152" i="16"/>
  <c r="H151" i="16"/>
  <c r="F151" i="16"/>
  <c r="D151" i="16"/>
  <c r="G149" i="16"/>
  <c r="E149" i="16"/>
  <c r="G148" i="16"/>
  <c r="E148" i="16"/>
  <c r="G147" i="16"/>
  <c r="E147" i="16"/>
  <c r="G146" i="16"/>
  <c r="E146" i="16"/>
  <c r="G145" i="16"/>
  <c r="G157" i="16" s="1"/>
  <c r="G148" i="17"/>
  <c r="E148" i="17"/>
  <c r="G147" i="17"/>
  <c r="E147" i="17"/>
  <c r="G146" i="17"/>
  <c r="E146" i="17"/>
  <c r="G145" i="17"/>
  <c r="G157" i="17" s="1"/>
  <c r="E130" i="17"/>
  <c r="E142" i="17" s="1"/>
  <c r="G130" i="17"/>
  <c r="G142" i="17" s="1"/>
  <c r="H157" i="18"/>
  <c r="D157" i="18"/>
  <c r="F146" i="15"/>
  <c r="D146" i="15"/>
  <c r="D157" i="15" s="1"/>
  <c r="H145" i="15"/>
  <c r="F145" i="15"/>
  <c r="H141" i="18"/>
  <c r="F141" i="18"/>
  <c r="D141" i="18"/>
  <c r="H140" i="18"/>
  <c r="F140" i="18"/>
  <c r="D140" i="18"/>
  <c r="H139" i="18"/>
  <c r="F139" i="18"/>
  <c r="D139" i="18"/>
  <c r="H138" i="18"/>
  <c r="F138" i="18"/>
  <c r="D138" i="18"/>
  <c r="H137" i="18"/>
  <c r="F137" i="18"/>
  <c r="D137" i="18"/>
  <c r="H136" i="18"/>
  <c r="H142" i="18" s="1"/>
  <c r="F136" i="18"/>
  <c r="D136" i="18"/>
  <c r="D142" i="18" s="1"/>
  <c r="G134" i="18"/>
  <c r="E134" i="18"/>
  <c r="G133" i="18"/>
  <c r="E133" i="18"/>
  <c r="G132" i="18"/>
  <c r="E132" i="18"/>
  <c r="G131" i="18"/>
  <c r="E131" i="18"/>
  <c r="G130" i="18"/>
  <c r="H138" i="1"/>
  <c r="F138" i="1"/>
  <c r="D138" i="1"/>
  <c r="H137" i="1"/>
  <c r="F137" i="1"/>
  <c r="D137" i="1"/>
  <c r="H136" i="1"/>
  <c r="H142" i="1" s="1"/>
  <c r="F136" i="1"/>
  <c r="D136" i="1"/>
  <c r="D142" i="1" s="1"/>
  <c r="G134" i="1"/>
  <c r="E134" i="1"/>
  <c r="G133" i="1"/>
  <c r="E133" i="1"/>
  <c r="G132" i="1"/>
  <c r="E132" i="1"/>
  <c r="G131" i="1"/>
  <c r="E131" i="1"/>
  <c r="G130" i="1"/>
  <c r="F527" i="5"/>
  <c r="F525" i="5"/>
  <c r="G525" i="5" s="1"/>
  <c r="H525" i="5" s="1"/>
  <c r="E532" i="5"/>
  <c r="E531" i="5"/>
  <c r="E530" i="5"/>
  <c r="F516" i="5"/>
  <c r="F514" i="5"/>
  <c r="G514" i="5" s="1"/>
  <c r="H514" i="5" s="1"/>
  <c r="E521" i="5"/>
  <c r="E520" i="5"/>
  <c r="E519" i="5"/>
  <c r="F505" i="5"/>
  <c r="F503" i="5"/>
  <c r="G503" i="5" s="1"/>
  <c r="H503" i="5" s="1"/>
  <c r="E510" i="5"/>
  <c r="E509" i="5"/>
  <c r="E508" i="5"/>
  <c r="F157" i="15" l="1"/>
  <c r="G157" i="1"/>
  <c r="D65" i="16"/>
  <c r="F80" i="15"/>
  <c r="E157" i="1"/>
  <c r="E157" i="18"/>
  <c r="F157" i="18"/>
  <c r="E142" i="1"/>
  <c r="E142" i="18"/>
  <c r="F80" i="17"/>
  <c r="E157" i="17"/>
  <c r="E80" i="17"/>
  <c r="G142" i="1"/>
  <c r="G142" i="18"/>
  <c r="H157" i="15"/>
  <c r="E157" i="16"/>
  <c r="E157" i="15"/>
  <c r="G65" i="1"/>
  <c r="G65" i="15"/>
  <c r="G80" i="1"/>
  <c r="E80" i="16"/>
  <c r="E80" i="15"/>
  <c r="G80" i="17"/>
  <c r="G80" i="16"/>
  <c r="G80" i="15"/>
  <c r="F157" i="16"/>
  <c r="D65" i="15"/>
  <c r="F142" i="1"/>
  <c r="F142" i="18"/>
  <c r="D157" i="16"/>
  <c r="H157" i="16"/>
  <c r="F65" i="1"/>
  <c r="D65" i="18"/>
  <c r="H65" i="18"/>
  <c r="F65" i="16"/>
  <c r="F65" i="15"/>
  <c r="G142" i="16"/>
  <c r="G142" i="15"/>
  <c r="E142" i="16"/>
  <c r="D65" i="1"/>
  <c r="H65" i="1"/>
  <c r="F65" i="18"/>
  <c r="H65" i="16"/>
  <c r="H65" i="15"/>
  <c r="F142" i="16"/>
  <c r="D142" i="15"/>
  <c r="H142" i="15"/>
  <c r="E142" i="15"/>
  <c r="D142" i="16"/>
  <c r="H142" i="16"/>
  <c r="F142" i="15"/>
  <c r="B1" i="6"/>
  <c r="F498" i="5" l="1"/>
  <c r="E498" i="5"/>
  <c r="D498" i="5"/>
  <c r="G497" i="5"/>
  <c r="H497" i="5" s="1"/>
  <c r="G496" i="5"/>
  <c r="H496" i="5" s="1"/>
  <c r="G495" i="5"/>
  <c r="H495" i="5" s="1"/>
  <c r="G494" i="5"/>
  <c r="F491" i="5"/>
  <c r="E491" i="5"/>
  <c r="D491" i="5"/>
  <c r="G490" i="5"/>
  <c r="H490" i="5" s="1"/>
  <c r="G489" i="5"/>
  <c r="H489" i="5" s="1"/>
  <c r="G488" i="5"/>
  <c r="H488" i="5" s="1"/>
  <c r="G487" i="5"/>
  <c r="G483" i="5"/>
  <c r="H483" i="5" s="1"/>
  <c r="G482" i="5"/>
  <c r="H482" i="5" s="1"/>
  <c r="G481" i="5"/>
  <c r="H481" i="5" s="1"/>
  <c r="G480" i="5"/>
  <c r="H480" i="5" s="1"/>
  <c r="G498" i="5" l="1"/>
  <c r="G491" i="5"/>
  <c r="H494" i="5"/>
  <c r="H498" i="5" s="1"/>
  <c r="H487" i="5"/>
  <c r="H491" i="5" s="1"/>
  <c r="A99" i="1" l="1"/>
  <c r="D397" i="5" l="1"/>
  <c r="H4" i="2" l="1"/>
  <c r="G4" i="2"/>
  <c r="F4" i="2"/>
  <c r="E4" i="2"/>
  <c r="H4" i="21"/>
  <c r="A61" i="4" l="1"/>
  <c r="A19" i="5" l="1"/>
  <c r="A13" i="5"/>
  <c r="A7" i="5"/>
  <c r="A101" i="5"/>
  <c r="A121" i="5"/>
  <c r="A89" i="5"/>
  <c r="A82" i="5"/>
  <c r="A77" i="5"/>
  <c r="A72" i="5"/>
  <c r="A273" i="5"/>
  <c r="H266" i="5"/>
  <c r="G266" i="5"/>
  <c r="F266" i="5"/>
  <c r="E266" i="5"/>
  <c r="D266" i="5"/>
  <c r="H265" i="5"/>
  <c r="G265" i="5"/>
  <c r="F265" i="5"/>
  <c r="E265" i="5"/>
  <c r="D265" i="5"/>
  <c r="H264" i="5"/>
  <c r="G264" i="5"/>
  <c r="F264" i="5"/>
  <c r="E264" i="5"/>
  <c r="D264" i="5"/>
  <c r="H263" i="5"/>
  <c r="G263" i="5"/>
  <c r="F263" i="5"/>
  <c r="E263" i="5"/>
  <c r="D263" i="5"/>
  <c r="H262" i="5"/>
  <c r="G262" i="5"/>
  <c r="E262" i="5"/>
  <c r="D262" i="5"/>
  <c r="H261" i="5"/>
  <c r="G261" i="5"/>
  <c r="F261" i="5"/>
  <c r="E261" i="5"/>
  <c r="D261" i="5"/>
  <c r="H260" i="5"/>
  <c r="G260" i="5"/>
  <c r="F260" i="5"/>
  <c r="E260" i="5"/>
  <c r="D260" i="5"/>
  <c r="H259" i="5"/>
  <c r="G259" i="5"/>
  <c r="F259" i="5"/>
  <c r="E259" i="5"/>
  <c r="D259" i="5"/>
  <c r="F258" i="5"/>
  <c r="E258" i="5"/>
  <c r="D258" i="5"/>
  <c r="H255" i="5"/>
  <c r="G255" i="5"/>
  <c r="F255" i="5"/>
  <c r="E255" i="5"/>
  <c r="D255" i="5"/>
  <c r="H254" i="5"/>
  <c r="G254" i="5"/>
  <c r="F254" i="5"/>
  <c r="E254" i="5"/>
  <c r="D254" i="5"/>
  <c r="H253" i="5"/>
  <c r="G253" i="5"/>
  <c r="F253" i="5"/>
  <c r="E253" i="5"/>
  <c r="D253" i="5"/>
  <c r="H252" i="5"/>
  <c r="G252" i="5"/>
  <c r="F252" i="5"/>
  <c r="E252" i="5"/>
  <c r="D252" i="5"/>
  <c r="H251" i="5"/>
  <c r="G251" i="5"/>
  <c r="E251" i="5"/>
  <c r="D251" i="5"/>
  <c r="H250" i="5"/>
  <c r="G250" i="5"/>
  <c r="F250" i="5"/>
  <c r="E250" i="5"/>
  <c r="D250" i="5"/>
  <c r="H249" i="5"/>
  <c r="G249" i="5"/>
  <c r="F249" i="5"/>
  <c r="E249" i="5"/>
  <c r="D249" i="5"/>
  <c r="H248" i="5"/>
  <c r="G248" i="5"/>
  <c r="F248" i="5"/>
  <c r="E248" i="5"/>
  <c r="D248" i="5"/>
  <c r="F247" i="5"/>
  <c r="E247" i="5"/>
  <c r="D247" i="5"/>
  <c r="H244" i="5"/>
  <c r="G244" i="5"/>
  <c r="F244" i="5"/>
  <c r="E244" i="5"/>
  <c r="D244" i="5"/>
  <c r="H243" i="5"/>
  <c r="G243" i="5"/>
  <c r="F243" i="5"/>
  <c r="E243" i="5"/>
  <c r="D243" i="5"/>
  <c r="H242" i="5"/>
  <c r="G242" i="5"/>
  <c r="F242" i="5"/>
  <c r="E242" i="5"/>
  <c r="D242" i="5"/>
  <c r="H241" i="5"/>
  <c r="G241" i="5"/>
  <c r="F241" i="5"/>
  <c r="E241" i="5"/>
  <c r="D241" i="5"/>
  <c r="H240" i="5"/>
  <c r="G240" i="5"/>
  <c r="E240" i="5"/>
  <c r="D240" i="5"/>
  <c r="H239" i="5"/>
  <c r="G239" i="5"/>
  <c r="F239" i="5"/>
  <c r="E239" i="5"/>
  <c r="D239" i="5"/>
  <c r="H238" i="5"/>
  <c r="G238" i="5"/>
  <c r="F238" i="5"/>
  <c r="E238" i="5"/>
  <c r="D238" i="5"/>
  <c r="H237" i="5"/>
  <c r="G237" i="5"/>
  <c r="F237" i="5"/>
  <c r="E237" i="5"/>
  <c r="D237" i="5"/>
  <c r="E236" i="5"/>
  <c r="F236" i="5"/>
  <c r="D236" i="5"/>
  <c r="G4" i="21" l="1"/>
  <c r="F4" i="21"/>
  <c r="E4" i="21"/>
  <c r="D4" i="21"/>
  <c r="E90" i="5" l="1"/>
  <c r="D90" i="5"/>
  <c r="E192" i="5"/>
  <c r="D192" i="5"/>
  <c r="E191" i="5"/>
  <c r="D191" i="5"/>
  <c r="E190" i="5"/>
  <c r="D190" i="5"/>
  <c r="E189" i="5"/>
  <c r="D189" i="5"/>
  <c r="E188" i="5"/>
  <c r="D188" i="5"/>
  <c r="E186" i="5"/>
  <c r="D186" i="5"/>
  <c r="E185" i="5"/>
  <c r="D185" i="5"/>
  <c r="E184" i="5"/>
  <c r="D184" i="5"/>
  <c r="E183" i="5"/>
  <c r="D183" i="5"/>
  <c r="E182" i="5"/>
  <c r="D182" i="5"/>
  <c r="E180" i="5"/>
  <c r="D180" i="5"/>
  <c r="E179" i="5"/>
  <c r="D179" i="5"/>
  <c r="E178" i="5"/>
  <c r="D178" i="5"/>
  <c r="E177" i="5"/>
  <c r="D177" i="5"/>
  <c r="E176" i="5"/>
  <c r="D176" i="5"/>
  <c r="A380" i="5"/>
  <c r="A373" i="5"/>
  <c r="A366" i="5"/>
  <c r="A365" i="5"/>
  <c r="A358" i="5"/>
  <c r="A351" i="5"/>
  <c r="A344" i="5"/>
  <c r="A343" i="5"/>
  <c r="A341" i="5"/>
  <c r="A340" i="5"/>
  <c r="A339" i="5"/>
  <c r="A331" i="5"/>
  <c r="A324" i="5"/>
  <c r="A317" i="5"/>
  <c r="A309" i="5"/>
  <c r="A302" i="5"/>
  <c r="A295" i="5"/>
  <c r="A287" i="5"/>
  <c r="A280" i="5"/>
  <c r="A257" i="5"/>
  <c r="A253" i="5"/>
  <c r="A264" i="5" s="1"/>
  <c r="A252" i="5"/>
  <c r="A263" i="5" s="1"/>
  <c r="A251" i="5"/>
  <c r="A262" i="5" s="1"/>
  <c r="A250" i="5"/>
  <c r="A261" i="5" s="1"/>
  <c r="A249" i="5"/>
  <c r="A260" i="5" s="1"/>
  <c r="A248" i="5"/>
  <c r="A259" i="5" s="1"/>
  <c r="A247" i="5"/>
  <c r="A258" i="5" s="1"/>
  <c r="A246" i="5"/>
  <c r="A244" i="5"/>
  <c r="A255" i="5" s="1"/>
  <c r="A266" i="5" s="1"/>
  <c r="A243" i="5"/>
  <c r="A254" i="5" s="1"/>
  <c r="A265" i="5" s="1"/>
  <c r="F90" i="5"/>
  <c r="A235" i="5"/>
  <c r="A524" i="5"/>
  <c r="A520" i="5"/>
  <c r="A531" i="5" s="1"/>
  <c r="A519" i="5"/>
  <c r="A530" i="5" s="1"/>
  <c r="A518" i="5"/>
  <c r="A529" i="5" s="1"/>
  <c r="A517" i="5"/>
  <c r="A528" i="5" s="1"/>
  <c r="A516" i="5"/>
  <c r="A527" i="5" s="1"/>
  <c r="A515" i="5"/>
  <c r="A526" i="5" s="1"/>
  <c r="A514" i="5"/>
  <c r="A525" i="5" s="1"/>
  <c r="A513" i="5"/>
  <c r="A511" i="5"/>
  <c r="A522" i="5" s="1"/>
  <c r="A533" i="5" s="1"/>
  <c r="A510" i="5"/>
  <c r="A521" i="5" s="1"/>
  <c r="A532" i="5" s="1"/>
  <c r="A502" i="5"/>
  <c r="G236" i="5" l="1"/>
  <c r="G90" i="5" s="1"/>
  <c r="H247" i="5"/>
  <c r="G247" i="5"/>
  <c r="H258" i="5"/>
  <c r="G258" i="5"/>
  <c r="H236" i="5" l="1"/>
  <c r="H90" i="5" s="1"/>
  <c r="A210" i="21"/>
  <c r="A204" i="21"/>
  <c r="A198" i="21"/>
  <c r="A197" i="21"/>
  <c r="A191" i="21"/>
  <c r="A185" i="21"/>
  <c r="A179" i="21"/>
  <c r="A178" i="21"/>
  <c r="A176" i="21"/>
  <c r="A175" i="21"/>
  <c r="A174" i="21"/>
  <c r="A167" i="21"/>
  <c r="A161" i="21"/>
  <c r="A155" i="21"/>
  <c r="A148" i="21"/>
  <c r="A142" i="21"/>
  <c r="A136" i="21"/>
  <c r="A129" i="21"/>
  <c r="A23" i="21" s="1"/>
  <c r="A123" i="21"/>
  <c r="A17" i="21" s="1"/>
  <c r="A117" i="21"/>
  <c r="A11" i="21" s="1"/>
  <c r="A105" i="21"/>
  <c r="A99" i="21"/>
  <c r="A93" i="21"/>
  <c r="A92" i="21"/>
  <c r="A86" i="21"/>
  <c r="A80" i="21"/>
  <c r="A74" i="21"/>
  <c r="A73" i="21"/>
  <c r="A71" i="21"/>
  <c r="A70" i="21"/>
  <c r="A69" i="21"/>
  <c r="A68" i="21"/>
  <c r="A62" i="21"/>
  <c r="A56" i="21"/>
  <c r="A50" i="21"/>
  <c r="A49" i="21"/>
  <c r="A43" i="21"/>
  <c r="A37" i="21"/>
  <c r="A31" i="21"/>
  <c r="A29" i="21"/>
  <c r="A9" i="21"/>
  <c r="A8" i="21"/>
  <c r="B2" i="21"/>
  <c r="G94" i="21" l="1"/>
  <c r="G95" i="21"/>
  <c r="G96" i="21"/>
  <c r="G97" i="21"/>
  <c r="G100" i="21"/>
  <c r="G101" i="21"/>
  <c r="G102" i="21"/>
  <c r="G103" i="21"/>
  <c r="G106" i="21"/>
  <c r="G107" i="21"/>
  <c r="G108" i="21"/>
  <c r="G109" i="21"/>
  <c r="F109" i="21"/>
  <c r="F107" i="21"/>
  <c r="F103" i="21"/>
  <c r="F101" i="21"/>
  <c r="F94" i="21"/>
  <c r="F96" i="21"/>
  <c r="H94" i="21"/>
  <c r="H95" i="21"/>
  <c r="H96" i="21"/>
  <c r="H97" i="21"/>
  <c r="H100" i="21"/>
  <c r="H101" i="21"/>
  <c r="H102" i="21"/>
  <c r="H103" i="21"/>
  <c r="H106" i="21"/>
  <c r="H107" i="21"/>
  <c r="H108" i="21"/>
  <c r="H109" i="21"/>
  <c r="F108" i="21"/>
  <c r="F106" i="21"/>
  <c r="F102" i="21"/>
  <c r="F100" i="21"/>
  <c r="F97" i="21"/>
  <c r="F95" i="21"/>
  <c r="A15" i="1"/>
  <c r="A174" i="5"/>
  <c r="G35" i="21"/>
  <c r="H34" i="21"/>
  <c r="F34" i="21"/>
  <c r="G33" i="21"/>
  <c r="H32" i="21"/>
  <c r="F32" i="21"/>
  <c r="H35" i="21"/>
  <c r="F35" i="21"/>
  <c r="G34" i="21"/>
  <c r="H33" i="21"/>
  <c r="F33" i="21"/>
  <c r="G32" i="21"/>
  <c r="G47" i="21"/>
  <c r="H46" i="21"/>
  <c r="F46" i="21"/>
  <c r="G45" i="21"/>
  <c r="H44" i="21"/>
  <c r="F44" i="21"/>
  <c r="H47" i="21"/>
  <c r="F47" i="21"/>
  <c r="G46" i="21"/>
  <c r="H45" i="21"/>
  <c r="F45" i="21"/>
  <c r="G44" i="21"/>
  <c r="H58" i="21"/>
  <c r="G70" i="21"/>
  <c r="H70" i="21"/>
  <c r="F70" i="21"/>
  <c r="H9" i="21"/>
  <c r="F9" i="21"/>
  <c r="G9" i="21"/>
  <c r="H8" i="21"/>
  <c r="F8" i="21"/>
  <c r="G8" i="21"/>
  <c r="G41" i="21"/>
  <c r="H40" i="21"/>
  <c r="F40" i="21"/>
  <c r="G39" i="21"/>
  <c r="H38" i="21"/>
  <c r="F38" i="21"/>
  <c r="F251" i="5" s="1"/>
  <c r="H41" i="21"/>
  <c r="F41" i="21"/>
  <c r="G40" i="21"/>
  <c r="H39" i="21"/>
  <c r="F39" i="21"/>
  <c r="G38" i="21"/>
  <c r="G52" i="21"/>
  <c r="G64" i="21"/>
  <c r="H69" i="21"/>
  <c r="F69" i="21"/>
  <c r="G69" i="21"/>
  <c r="H71" i="21"/>
  <c r="F71" i="21"/>
  <c r="G71" i="21"/>
  <c r="G75" i="21"/>
  <c r="G76" i="21"/>
  <c r="G77" i="21"/>
  <c r="G78" i="21"/>
  <c r="F81" i="21"/>
  <c r="H81" i="21"/>
  <c r="F82" i="21"/>
  <c r="H82" i="21"/>
  <c r="F83" i="21"/>
  <c r="H83" i="21"/>
  <c r="F84" i="21"/>
  <c r="H84" i="21"/>
  <c r="G87" i="21"/>
  <c r="G88" i="21"/>
  <c r="G89" i="21"/>
  <c r="G90" i="21"/>
  <c r="F75" i="21"/>
  <c r="H75" i="21"/>
  <c r="F76" i="21"/>
  <c r="H76" i="21"/>
  <c r="F77" i="21"/>
  <c r="H77" i="21"/>
  <c r="F78" i="21"/>
  <c r="H78" i="21"/>
  <c r="G81" i="21"/>
  <c r="G82" i="21"/>
  <c r="G83" i="21"/>
  <c r="G84" i="21"/>
  <c r="F87" i="21"/>
  <c r="H87" i="21"/>
  <c r="F88" i="21"/>
  <c r="H88" i="21"/>
  <c r="F89" i="21"/>
  <c r="H89" i="21"/>
  <c r="F90" i="21"/>
  <c r="H90" i="21"/>
  <c r="G271" i="5" l="1"/>
  <c r="H271" i="5"/>
  <c r="G24" i="21"/>
  <c r="H25" i="21"/>
  <c r="F27" i="21"/>
  <c r="F24" i="21"/>
  <c r="G25" i="21"/>
  <c r="H26" i="21"/>
  <c r="F25" i="21"/>
  <c r="G26" i="21"/>
  <c r="H27" i="21"/>
  <c r="H24" i="21"/>
  <c r="F26" i="21"/>
  <c r="G12" i="21"/>
  <c r="H13" i="21"/>
  <c r="F15" i="21"/>
  <c r="F12" i="21"/>
  <c r="G13" i="21"/>
  <c r="H14" i="21"/>
  <c r="G18" i="21"/>
  <c r="H19" i="21"/>
  <c r="F21" i="21"/>
  <c r="F18" i="21"/>
  <c r="G19" i="21"/>
  <c r="H20" i="21"/>
  <c r="G27" i="21"/>
  <c r="F13" i="21"/>
  <c r="G14" i="21"/>
  <c r="H15" i="21"/>
  <c r="H12" i="21"/>
  <c r="F14" i="21"/>
  <c r="G15" i="21"/>
  <c r="F19" i="21"/>
  <c r="G20" i="21"/>
  <c r="H21" i="21"/>
  <c r="H18" i="21"/>
  <c r="F20" i="21"/>
  <c r="G21" i="21"/>
  <c r="G285" i="5" s="1"/>
  <c r="G341" i="5"/>
  <c r="G304" i="5"/>
  <c r="G306" i="5"/>
  <c r="G305" i="5"/>
  <c r="H305" i="5" s="1"/>
  <c r="H184" i="5" s="1"/>
  <c r="G339" i="5"/>
  <c r="H339" i="5" s="1"/>
  <c r="G171" i="21"/>
  <c r="G66" i="21" s="1"/>
  <c r="G340" i="5"/>
  <c r="H340" i="5" s="1"/>
  <c r="G307" i="5"/>
  <c r="H307" i="5" s="1"/>
  <c r="H186" i="5" s="1"/>
  <c r="G159" i="21"/>
  <c r="G54" i="21" s="1"/>
  <c r="H165" i="21"/>
  <c r="H60" i="21" s="1"/>
  <c r="F262" i="5"/>
  <c r="F185" i="5"/>
  <c r="F182" i="5"/>
  <c r="F186" i="5"/>
  <c r="F184" i="5"/>
  <c r="F183" i="5"/>
  <c r="G165" i="21"/>
  <c r="G60" i="21" s="1"/>
  <c r="G58" i="21"/>
  <c r="G164" i="21"/>
  <c r="G59" i="21" s="1"/>
  <c r="G57" i="21"/>
  <c r="G186" i="5"/>
  <c r="G170" i="21"/>
  <c r="G65" i="21" s="1"/>
  <c r="G63" i="21"/>
  <c r="H164" i="21"/>
  <c r="H59" i="21" s="1"/>
  <c r="H57" i="21"/>
  <c r="G158" i="21"/>
  <c r="G53" i="21" s="1"/>
  <c r="G51" i="21"/>
  <c r="F171" i="21"/>
  <c r="F66" i="21" s="1"/>
  <c r="F64" i="21"/>
  <c r="G334" i="5" s="1"/>
  <c r="F170" i="21"/>
  <c r="F65" i="21" s="1"/>
  <c r="F63" i="21"/>
  <c r="F159" i="21"/>
  <c r="F54" i="21" s="1"/>
  <c r="F52" i="21"/>
  <c r="G320" i="5" s="1"/>
  <c r="F158" i="21"/>
  <c r="F53" i="21" s="1"/>
  <c r="F51" i="21"/>
  <c r="F165" i="21"/>
  <c r="F60" i="21" s="1"/>
  <c r="F58" i="21"/>
  <c r="F164" i="21"/>
  <c r="F59" i="21" s="1"/>
  <c r="F57" i="21"/>
  <c r="H171" i="21"/>
  <c r="H66" i="21" s="1"/>
  <c r="H64" i="21"/>
  <c r="H170" i="21"/>
  <c r="H65" i="21" s="1"/>
  <c r="H63" i="21"/>
  <c r="H159" i="21"/>
  <c r="H54" i="21" s="1"/>
  <c r="H52" i="21"/>
  <c r="H158" i="21"/>
  <c r="H53" i="21" s="1"/>
  <c r="H51" i="21"/>
  <c r="G183" i="5" l="1"/>
  <c r="G303" i="5"/>
  <c r="G182" i="5" s="1"/>
  <c r="H304" i="5"/>
  <c r="G328" i="5"/>
  <c r="G329" i="5"/>
  <c r="H329" i="5" s="1"/>
  <c r="G336" i="5"/>
  <c r="H336" i="5" s="1"/>
  <c r="G292" i="5"/>
  <c r="H292" i="5" s="1"/>
  <c r="H285" i="5"/>
  <c r="G276" i="5"/>
  <c r="H276" i="5" s="1"/>
  <c r="G283" i="5"/>
  <c r="H283" i="5" s="1"/>
  <c r="G185" i="5"/>
  <c r="H341" i="5"/>
  <c r="G284" i="5"/>
  <c r="H306" i="5"/>
  <c r="G184" i="5"/>
  <c r="G322" i="5"/>
  <c r="H322" i="5" s="1"/>
  <c r="G282" i="5"/>
  <c r="G326" i="5"/>
  <c r="G327" i="5"/>
  <c r="H327" i="5" s="1"/>
  <c r="G291" i="5"/>
  <c r="G289" i="5"/>
  <c r="G290" i="5"/>
  <c r="H290" i="5" s="1"/>
  <c r="G277" i="5"/>
  <c r="F240" i="5"/>
  <c r="G299" i="5" s="1"/>
  <c r="F191" i="5"/>
  <c r="F188" i="5"/>
  <c r="F192" i="5"/>
  <c r="F190" i="5"/>
  <c r="F189" i="5"/>
  <c r="G312" i="5"/>
  <c r="G314" i="5"/>
  <c r="G311" i="5"/>
  <c r="G310" i="5" s="1"/>
  <c r="G313" i="5"/>
  <c r="H320" i="5"/>
  <c r="H334" i="5"/>
  <c r="G321" i="5"/>
  <c r="G335" i="5"/>
  <c r="G275" i="5"/>
  <c r="G274" i="5" s="1"/>
  <c r="G278" i="5"/>
  <c r="H278" i="5" s="1"/>
  <c r="G319" i="5"/>
  <c r="G318" i="5" s="1"/>
  <c r="G333" i="5"/>
  <c r="G332" i="5" s="1"/>
  <c r="H326" i="5" l="1"/>
  <c r="H325" i="5" s="1"/>
  <c r="G325" i="5"/>
  <c r="H282" i="5"/>
  <c r="H281" i="5" s="1"/>
  <c r="G281" i="5"/>
  <c r="H183" i="5"/>
  <c r="H303" i="5"/>
  <c r="H182" i="5" s="1"/>
  <c r="H289" i="5"/>
  <c r="H288" i="5" s="1"/>
  <c r="G288" i="5"/>
  <c r="H335" i="5"/>
  <c r="H284" i="5"/>
  <c r="H328" i="5"/>
  <c r="H185" i="5"/>
  <c r="G300" i="5"/>
  <c r="G180" i="5" s="1"/>
  <c r="F176" i="5"/>
  <c r="H277" i="5"/>
  <c r="H291" i="5"/>
  <c r="F178" i="5"/>
  <c r="F180" i="5"/>
  <c r="G298" i="5"/>
  <c r="H298" i="5" s="1"/>
  <c r="H178" i="5" s="1"/>
  <c r="F179" i="5"/>
  <c r="F177" i="5"/>
  <c r="G297" i="5"/>
  <c r="H299" i="5"/>
  <c r="G179" i="5"/>
  <c r="H321" i="5"/>
  <c r="H313" i="5"/>
  <c r="G191" i="5"/>
  <c r="H314" i="5"/>
  <c r="H192" i="5" s="1"/>
  <c r="G192" i="5"/>
  <c r="H311" i="5"/>
  <c r="H310" i="5" s="1"/>
  <c r="G189" i="5"/>
  <c r="G188" i="5"/>
  <c r="H312" i="5"/>
  <c r="H190" i="5" s="1"/>
  <c r="G190" i="5"/>
  <c r="H333" i="5"/>
  <c r="H332" i="5" s="1"/>
  <c r="H319" i="5"/>
  <c r="H318" i="5" s="1"/>
  <c r="H275" i="5"/>
  <c r="H274" i="5" s="1"/>
  <c r="G177" i="5" l="1"/>
  <c r="G296" i="5"/>
  <c r="G176" i="5" s="1"/>
  <c r="H297" i="5"/>
  <c r="H300" i="5"/>
  <c r="H180" i="5" s="1"/>
  <c r="G178" i="5"/>
  <c r="H179" i="5"/>
  <c r="H191" i="5"/>
  <c r="H188" i="5"/>
  <c r="H189" i="5"/>
  <c r="H177" i="5" l="1"/>
  <c r="H296" i="5"/>
  <c r="H176" i="5" s="1"/>
  <c r="A9" i="15"/>
  <c r="A10" i="15"/>
  <c r="A11" i="15"/>
  <c r="A12" i="15"/>
  <c r="A13" i="15"/>
  <c r="A14" i="15"/>
  <c r="A15" i="15"/>
  <c r="A16" i="15"/>
  <c r="A17" i="15"/>
  <c r="A8" i="15"/>
  <c r="H4" i="16" l="1"/>
  <c r="G4" i="16"/>
  <c r="F4" i="16"/>
  <c r="E4" i="16"/>
  <c r="D4" i="16"/>
  <c r="H4" i="17"/>
  <c r="G4" i="17"/>
  <c r="F4" i="17"/>
  <c r="E4" i="17"/>
  <c r="D4" i="17"/>
  <c r="H4" i="18"/>
  <c r="G4" i="18"/>
  <c r="F4" i="18"/>
  <c r="E4" i="18"/>
  <c r="D4" i="18"/>
  <c r="H4" i="15"/>
  <c r="G4" i="15"/>
  <c r="F4" i="15"/>
  <c r="E4" i="15"/>
  <c r="D4" i="15"/>
  <c r="H4" i="1"/>
  <c r="G4" i="1"/>
  <c r="F4" i="1"/>
  <c r="E4" i="1"/>
  <c r="D4" i="1"/>
  <c r="D396" i="5" l="1"/>
  <c r="D406" i="5" s="1"/>
  <c r="D416" i="5" s="1"/>
  <c r="A47" i="4"/>
  <c r="D65" i="5" l="1"/>
  <c r="D40" i="5" s="1"/>
  <c r="D59" i="5"/>
  <c r="D53" i="5"/>
  <c r="D4" i="5" l="1"/>
  <c r="A18" i="2" l="1"/>
  <c r="A17" i="2"/>
  <c r="A16" i="2"/>
  <c r="A31" i="2" s="1"/>
  <c r="A46" i="2" s="1"/>
  <c r="A61" i="2" s="1"/>
  <c r="A76" i="2" s="1"/>
  <c r="A15" i="2"/>
  <c r="A14" i="2"/>
  <c r="A13" i="2"/>
  <c r="A28" i="2" s="1"/>
  <c r="A43" i="2" s="1"/>
  <c r="A58" i="2" s="1"/>
  <c r="A73" i="2" s="1"/>
  <c r="A12" i="2"/>
  <c r="A11" i="2"/>
  <c r="A10" i="2"/>
  <c r="A9" i="2"/>
  <c r="A36" i="2"/>
  <c r="A51" i="2" s="1"/>
  <c r="A66" i="2" s="1"/>
  <c r="A81" i="2" s="1"/>
  <c r="A33" i="2"/>
  <c r="A48" i="2" s="1"/>
  <c r="A63" i="2" s="1"/>
  <c r="A78" i="2" s="1"/>
  <c r="A32" i="2"/>
  <c r="A47" i="2" s="1"/>
  <c r="A62" i="2" s="1"/>
  <c r="A77" i="2" s="1"/>
  <c r="A30" i="2"/>
  <c r="A45" i="2" s="1"/>
  <c r="A60" i="2" s="1"/>
  <c r="A75" i="2" s="1"/>
  <c r="A29" i="2"/>
  <c r="A44" i="2" s="1"/>
  <c r="A59" i="2" s="1"/>
  <c r="A74" i="2" s="1"/>
  <c r="A27" i="2"/>
  <c r="A42" i="2" s="1"/>
  <c r="A57" i="2" s="1"/>
  <c r="A72" i="2" s="1"/>
  <c r="A26" i="2"/>
  <c r="A41" i="2" s="1"/>
  <c r="A56" i="2" s="1"/>
  <c r="A71" i="2" s="1"/>
  <c r="A25" i="2"/>
  <c r="A40" i="2" s="1"/>
  <c r="A55" i="2" s="1"/>
  <c r="A70" i="2" s="1"/>
  <c r="A24" i="2"/>
  <c r="A39" i="2" s="1"/>
  <c r="A54" i="2" s="1"/>
  <c r="A69" i="2" s="1"/>
  <c r="B2" i="5" l="1"/>
  <c r="A501" i="5" s="1"/>
  <c r="B2" i="2" l="1"/>
  <c r="B2" i="1"/>
  <c r="A332" i="5" l="1"/>
  <c r="A345" i="5" s="1"/>
  <c r="A352" i="5" s="1"/>
  <c r="A359" i="5" s="1"/>
  <c r="A367" i="5" s="1"/>
  <c r="A318" i="5"/>
  <c r="A303" i="5"/>
  <c r="A288" i="5"/>
  <c r="A274" i="5"/>
  <c r="A325" i="5"/>
  <c r="A310" i="5"/>
  <c r="A296" i="5"/>
  <c r="A281" i="5"/>
  <c r="A8" i="2"/>
  <c r="B2" i="4"/>
  <c r="H4" i="5"/>
  <c r="G4" i="5"/>
  <c r="F4" i="5"/>
  <c r="E4" i="5"/>
  <c r="A374" i="5" l="1"/>
  <c r="A381" i="5" s="1"/>
  <c r="A164" i="15"/>
  <c r="A163" i="15"/>
  <c r="A162" i="15"/>
  <c r="A161" i="15"/>
  <c r="A160" i="15"/>
  <c r="A114" i="15"/>
  <c r="A99" i="15"/>
  <c r="A84" i="15"/>
  <c r="A37" i="15"/>
  <c r="A32" i="15"/>
  <c r="A47" i="15" s="1"/>
  <c r="A62" i="15" s="1"/>
  <c r="A77" i="15" s="1"/>
  <c r="A94" i="15" s="1"/>
  <c r="A31" i="15"/>
  <c r="A46" i="15" s="1"/>
  <c r="A61" i="15" s="1"/>
  <c r="A76" i="15" s="1"/>
  <c r="A93" i="15" s="1"/>
  <c r="A30" i="15"/>
  <c r="A45" i="15" s="1"/>
  <c r="A60" i="15" s="1"/>
  <c r="A75" i="15" s="1"/>
  <c r="A92" i="15" s="1"/>
  <c r="A29" i="15"/>
  <c r="A44" i="15" s="1"/>
  <c r="A59" i="15" s="1"/>
  <c r="A74" i="15" s="1"/>
  <c r="A91" i="15" s="1"/>
  <c r="A28" i="15"/>
  <c r="A43" i="15" s="1"/>
  <c r="A58" i="15" s="1"/>
  <c r="A73" i="15" s="1"/>
  <c r="A90" i="15" s="1"/>
  <c r="A27" i="15"/>
  <c r="A42" i="15" s="1"/>
  <c r="A57" i="15" s="1"/>
  <c r="A72" i="15" s="1"/>
  <c r="A89" i="15" s="1"/>
  <c r="A26" i="15"/>
  <c r="A41" i="15" s="1"/>
  <c r="A56" i="15" s="1"/>
  <c r="A71" i="15" s="1"/>
  <c r="A88" i="15" s="1"/>
  <c r="A25" i="15"/>
  <c r="A40" i="15" s="1"/>
  <c r="A55" i="15" s="1"/>
  <c r="A70" i="15" s="1"/>
  <c r="A87" i="15" s="1"/>
  <c r="A24" i="15"/>
  <c r="A39" i="15" s="1"/>
  <c r="A54" i="15" s="1"/>
  <c r="A69" i="15" s="1"/>
  <c r="A86" i="15" s="1"/>
  <c r="A23" i="15"/>
  <c r="A38" i="15" s="1"/>
  <c r="A53" i="15" s="1"/>
  <c r="A68" i="15" s="1"/>
  <c r="A85" i="15" s="1"/>
  <c r="A22" i="15"/>
  <c r="A7" i="15"/>
  <c r="B2" i="15"/>
  <c r="A164" i="1"/>
  <c r="A163" i="1"/>
  <c r="A162" i="1"/>
  <c r="A161" i="1"/>
  <c r="A160" i="1"/>
  <c r="A114" i="1"/>
  <c r="A84" i="1"/>
  <c r="A37" i="1"/>
  <c r="A32" i="1"/>
  <c r="A47" i="1" s="1"/>
  <c r="A62" i="1" s="1"/>
  <c r="A77" i="1" s="1"/>
  <c r="A94" i="1" s="1"/>
  <c r="A31" i="1"/>
  <c r="A46" i="1" s="1"/>
  <c r="A61" i="1" s="1"/>
  <c r="A76" i="1" s="1"/>
  <c r="A93" i="1" s="1"/>
  <c r="A30" i="1"/>
  <c r="A45" i="1" s="1"/>
  <c r="A60" i="1" s="1"/>
  <c r="A75" i="1" s="1"/>
  <c r="A92" i="1" s="1"/>
  <c r="A29" i="1"/>
  <c r="A44" i="1" s="1"/>
  <c r="A59" i="1" s="1"/>
  <c r="A74" i="1" s="1"/>
  <c r="A91" i="1" s="1"/>
  <c r="A28" i="1"/>
  <c r="A43" i="1" s="1"/>
  <c r="A58" i="1" s="1"/>
  <c r="A73" i="1" s="1"/>
  <c r="A90" i="1" s="1"/>
  <c r="A27" i="1"/>
  <c r="A42" i="1" s="1"/>
  <c r="A57" i="1" s="1"/>
  <c r="A72" i="1" s="1"/>
  <c r="A89" i="1" s="1"/>
  <c r="A26" i="1"/>
  <c r="A41" i="1" s="1"/>
  <c r="A56" i="1" s="1"/>
  <c r="A71" i="1" s="1"/>
  <c r="A88" i="1" s="1"/>
  <c r="A25" i="1"/>
  <c r="A40" i="1" s="1"/>
  <c r="A55" i="1" s="1"/>
  <c r="A70" i="1" s="1"/>
  <c r="A87" i="1" s="1"/>
  <c r="A24" i="1"/>
  <c r="A39" i="1" s="1"/>
  <c r="A54" i="1" s="1"/>
  <c r="A69" i="1" s="1"/>
  <c r="A86" i="1" s="1"/>
  <c r="A23" i="1"/>
  <c r="A38" i="1" s="1"/>
  <c r="A53" i="1" s="1"/>
  <c r="A68" i="1" s="1"/>
  <c r="A85" i="1" s="1"/>
  <c r="A22" i="1"/>
  <c r="A19" i="1"/>
  <c r="A19" i="15" s="1"/>
  <c r="A34" i="15" s="1"/>
  <c r="A49" i="15" s="1"/>
  <c r="A64" i="15" s="1"/>
  <c r="A79" i="15" s="1"/>
  <c r="A96" i="15" s="1"/>
  <c r="A18" i="1"/>
  <c r="A18" i="15" s="1"/>
  <c r="A33" i="15" s="1"/>
  <c r="A48" i="15" s="1"/>
  <c r="A63" i="15" s="1"/>
  <c r="A78" i="15" s="1"/>
  <c r="A95" i="15" s="1"/>
  <c r="A7" i="1"/>
  <c r="A404" i="5"/>
  <c r="A414" i="5" s="1"/>
  <c r="A388" i="5"/>
  <c r="A111" i="15" l="1"/>
  <c r="A126" i="15" s="1"/>
  <c r="A141" i="15" s="1"/>
  <c r="A156" i="15" s="1"/>
  <c r="A100" i="1"/>
  <c r="A115" i="1" s="1"/>
  <c r="A130" i="1" s="1"/>
  <c r="A145" i="1" s="1"/>
  <c r="A102" i="1"/>
  <c r="A117" i="1" s="1"/>
  <c r="A132" i="1" s="1"/>
  <c r="A147" i="1" s="1"/>
  <c r="A104" i="1"/>
  <c r="A119" i="1" s="1"/>
  <c r="A134" i="1" s="1"/>
  <c r="A149" i="1" s="1"/>
  <c r="A106" i="1"/>
  <c r="A121" i="1" s="1"/>
  <c r="A136" i="1" s="1"/>
  <c r="A151" i="1" s="1"/>
  <c r="A108" i="1"/>
  <c r="A123" i="1" s="1"/>
  <c r="A138" i="1" s="1"/>
  <c r="A153" i="1" s="1"/>
  <c r="A110" i="15"/>
  <c r="A125" i="15" s="1"/>
  <c r="A140" i="15" s="1"/>
  <c r="A155" i="15" s="1"/>
  <c r="A101" i="1"/>
  <c r="A116" i="1" s="1"/>
  <c r="A131" i="1" s="1"/>
  <c r="A146" i="1" s="1"/>
  <c r="A103" i="1"/>
  <c r="A118" i="1" s="1"/>
  <c r="A133" i="1" s="1"/>
  <c r="A148" i="1" s="1"/>
  <c r="A105" i="1"/>
  <c r="A120" i="1" s="1"/>
  <c r="A135" i="1" s="1"/>
  <c r="A150" i="1" s="1"/>
  <c r="A107" i="1"/>
  <c r="A122" i="1" s="1"/>
  <c r="A137" i="1" s="1"/>
  <c r="A152" i="1" s="1"/>
  <c r="A109" i="1"/>
  <c r="A124" i="1" s="1"/>
  <c r="A139" i="1" s="1"/>
  <c r="A154" i="1" s="1"/>
  <c r="A100" i="15"/>
  <c r="A115" i="15" s="1"/>
  <c r="A130" i="15" s="1"/>
  <c r="A145" i="15" s="1"/>
  <c r="A102" i="15"/>
  <c r="A117" i="15" s="1"/>
  <c r="A132" i="15" s="1"/>
  <c r="A147" i="15" s="1"/>
  <c r="A104" i="15"/>
  <c r="A119" i="15" s="1"/>
  <c r="A134" i="15" s="1"/>
  <c r="A149" i="15" s="1"/>
  <c r="A106" i="15"/>
  <c r="A121" i="15" s="1"/>
  <c r="A136" i="15" s="1"/>
  <c r="A151" i="15" s="1"/>
  <c r="A108" i="15"/>
  <c r="A123" i="15" s="1"/>
  <c r="A138" i="15" s="1"/>
  <c r="A153" i="15" s="1"/>
  <c r="A101" i="15"/>
  <c r="A116" i="15" s="1"/>
  <c r="A131" i="15" s="1"/>
  <c r="A146" i="15" s="1"/>
  <c r="A103" i="15"/>
  <c r="A118" i="15" s="1"/>
  <c r="A133" i="15" s="1"/>
  <c r="A148" i="15" s="1"/>
  <c r="A105" i="15"/>
  <c r="A120" i="15" s="1"/>
  <c r="A135" i="15" s="1"/>
  <c r="A150" i="15" s="1"/>
  <c r="A107" i="15"/>
  <c r="A122" i="15" s="1"/>
  <c r="A137" i="15" s="1"/>
  <c r="A152" i="15" s="1"/>
  <c r="A109" i="15"/>
  <c r="A124" i="15" s="1"/>
  <c r="A139" i="15" s="1"/>
  <c r="A154" i="15" s="1"/>
  <c r="A382" i="5"/>
  <c r="A375" i="5"/>
  <c r="A353" i="5"/>
  <c r="A360" i="5"/>
  <c r="A368" i="5" s="1"/>
  <c r="A346" i="5"/>
  <c r="A333" i="5"/>
  <c r="A319" i="5"/>
  <c r="A326" i="5"/>
  <c r="A304" i="5"/>
  <c r="A311" i="5"/>
  <c r="A297" i="5"/>
  <c r="A289" i="5"/>
  <c r="A282" i="5"/>
  <c r="A211" i="21"/>
  <c r="A199" i="21"/>
  <c r="A205" i="21"/>
  <c r="A186" i="21"/>
  <c r="A192" i="21"/>
  <c r="A180" i="21"/>
  <c r="A168" i="21"/>
  <c r="A156" i="21"/>
  <c r="A162" i="21"/>
  <c r="A143" i="21"/>
  <c r="A149" i="21"/>
  <c r="A137" i="21"/>
  <c r="A275" i="5"/>
  <c r="A130" i="21"/>
  <c r="A118" i="21"/>
  <c r="A124" i="21"/>
  <c r="A23" i="2"/>
  <c r="A34" i="1"/>
  <c r="A49" i="1" s="1"/>
  <c r="A64" i="1" s="1"/>
  <c r="A79" i="1" s="1"/>
  <c r="A96" i="1" s="1"/>
  <c r="A20" i="2"/>
  <c r="A33" i="1"/>
  <c r="A48" i="1" s="1"/>
  <c r="A63" i="1" s="1"/>
  <c r="A78" i="1" s="1"/>
  <c r="A95" i="1" s="1"/>
  <c r="A19" i="2"/>
  <c r="A110" i="1" l="1"/>
  <c r="A125" i="1" s="1"/>
  <c r="A140" i="1" s="1"/>
  <c r="A155" i="1" s="1"/>
  <c r="A111" i="1"/>
  <c r="A126" i="1" s="1"/>
  <c r="A141" i="1" s="1"/>
  <c r="A156" i="1" s="1"/>
  <c r="A34" i="2"/>
  <c r="A49" i="2" s="1"/>
  <c r="A64" i="2" s="1"/>
  <c r="A79" i="2" s="1"/>
  <c r="A35" i="2"/>
  <c r="A50" i="2" s="1"/>
  <c r="A65" i="2" s="1"/>
  <c r="A80" i="2" s="1"/>
  <c r="A187" i="5"/>
  <c r="A181" i="5"/>
  <c r="A175" i="5"/>
  <c r="A100" i="2" l="1"/>
  <c r="A101" i="2"/>
  <c r="A102" i="2"/>
  <c r="A103" i="2"/>
  <c r="A108" i="2"/>
  <c r="A116" i="2" s="1"/>
  <c r="A124" i="2" s="1"/>
  <c r="A109" i="2"/>
  <c r="A117" i="2" s="1"/>
  <c r="A125" i="2" s="1"/>
  <c r="A110" i="2"/>
  <c r="A118" i="2" s="1"/>
  <c r="A126" i="2" s="1"/>
  <c r="A111" i="2"/>
  <c r="A119" i="2" s="1"/>
  <c r="A127" i="2" s="1"/>
  <c r="A114" i="18" l="1"/>
  <c r="A99" i="18"/>
  <c r="A84" i="18"/>
  <c r="A37" i="18"/>
  <c r="A22" i="18"/>
  <c r="A19" i="18"/>
  <c r="A34" i="18" s="1"/>
  <c r="A49" i="18" s="1"/>
  <c r="A64" i="18" s="1"/>
  <c r="A79" i="18" s="1"/>
  <c r="A96" i="18" s="1"/>
  <c r="A17" i="18"/>
  <c r="A32" i="18" s="1"/>
  <c r="A47" i="18" s="1"/>
  <c r="A62" i="18" s="1"/>
  <c r="A77" i="18" s="1"/>
  <c r="A94" i="18" s="1"/>
  <c r="A16" i="18"/>
  <c r="A31" i="18" s="1"/>
  <c r="A46" i="18" s="1"/>
  <c r="A61" i="18" s="1"/>
  <c r="A76" i="18" s="1"/>
  <c r="A93" i="18" s="1"/>
  <c r="A15" i="18"/>
  <c r="A30" i="18" s="1"/>
  <c r="A45" i="18" s="1"/>
  <c r="A60" i="18" s="1"/>
  <c r="A75" i="18" s="1"/>
  <c r="A92" i="18" s="1"/>
  <c r="A14" i="18"/>
  <c r="A29" i="18" s="1"/>
  <c r="A44" i="18" s="1"/>
  <c r="A59" i="18" s="1"/>
  <c r="A74" i="18" s="1"/>
  <c r="A91" i="18" s="1"/>
  <c r="A13" i="18"/>
  <c r="A28" i="18" s="1"/>
  <c r="A43" i="18" s="1"/>
  <c r="A58" i="18" s="1"/>
  <c r="A73" i="18" s="1"/>
  <c r="A90" i="18" s="1"/>
  <c r="A12" i="18"/>
  <c r="A27" i="18" s="1"/>
  <c r="A42" i="18" s="1"/>
  <c r="A57" i="18" s="1"/>
  <c r="A72" i="18" s="1"/>
  <c r="A89" i="18" s="1"/>
  <c r="A11" i="18"/>
  <c r="A26" i="18" s="1"/>
  <c r="A41" i="18" s="1"/>
  <c r="A56" i="18" s="1"/>
  <c r="A71" i="18" s="1"/>
  <c r="A88" i="18" s="1"/>
  <c r="A10" i="18"/>
  <c r="A25" i="18" s="1"/>
  <c r="A40" i="18" s="1"/>
  <c r="A55" i="18" s="1"/>
  <c r="A70" i="18" s="1"/>
  <c r="A87" i="18" s="1"/>
  <c r="A9" i="18"/>
  <c r="A24" i="18" s="1"/>
  <c r="A39" i="18" s="1"/>
  <c r="A54" i="18" s="1"/>
  <c r="A69" i="18" s="1"/>
  <c r="A86" i="18" s="1"/>
  <c r="A8" i="18"/>
  <c r="A23" i="18" s="1"/>
  <c r="A38" i="18" s="1"/>
  <c r="A53" i="18" s="1"/>
  <c r="A68" i="18" s="1"/>
  <c r="A85" i="18" s="1"/>
  <c r="A7" i="18"/>
  <c r="A114" i="17"/>
  <c r="A99" i="17"/>
  <c r="A84" i="17"/>
  <c r="A37" i="17"/>
  <c r="A22" i="17"/>
  <c r="A19" i="17"/>
  <c r="A34" i="17" s="1"/>
  <c r="A49" i="17" s="1"/>
  <c r="A64" i="17" s="1"/>
  <c r="A79" i="17" s="1"/>
  <c r="A96" i="17" s="1"/>
  <c r="A17" i="17"/>
  <c r="A32" i="17" s="1"/>
  <c r="A47" i="17" s="1"/>
  <c r="A62" i="17" s="1"/>
  <c r="A77" i="17" s="1"/>
  <c r="A94" i="17" s="1"/>
  <c r="A16" i="17"/>
  <c r="A31" i="17" s="1"/>
  <c r="A46" i="17" s="1"/>
  <c r="A61" i="17" s="1"/>
  <c r="A76" i="17" s="1"/>
  <c r="A93" i="17" s="1"/>
  <c r="A15" i="17"/>
  <c r="A30" i="17" s="1"/>
  <c r="A45" i="17" s="1"/>
  <c r="A60" i="17" s="1"/>
  <c r="A75" i="17" s="1"/>
  <c r="A92" i="17" s="1"/>
  <c r="A14" i="17"/>
  <c r="A29" i="17" s="1"/>
  <c r="A44" i="17" s="1"/>
  <c r="A59" i="17" s="1"/>
  <c r="A74" i="17" s="1"/>
  <c r="A91" i="17" s="1"/>
  <c r="A13" i="17"/>
  <c r="A28" i="17" s="1"/>
  <c r="A43" i="17" s="1"/>
  <c r="A58" i="17" s="1"/>
  <c r="A73" i="17" s="1"/>
  <c r="A90" i="17" s="1"/>
  <c r="A12" i="17"/>
  <c r="A27" i="17" s="1"/>
  <c r="A42" i="17" s="1"/>
  <c r="A57" i="17" s="1"/>
  <c r="A72" i="17" s="1"/>
  <c r="A89" i="17" s="1"/>
  <c r="A11" i="17"/>
  <c r="A26" i="17" s="1"/>
  <c r="A41" i="17" s="1"/>
  <c r="A56" i="17" s="1"/>
  <c r="A71" i="17" s="1"/>
  <c r="A88" i="17" s="1"/>
  <c r="A10" i="17"/>
  <c r="A25" i="17" s="1"/>
  <c r="A40" i="17" s="1"/>
  <c r="A55" i="17" s="1"/>
  <c r="A70" i="17" s="1"/>
  <c r="A87" i="17" s="1"/>
  <c r="A9" i="17"/>
  <c r="A24" i="17" s="1"/>
  <c r="A39" i="17" s="1"/>
  <c r="A54" i="17" s="1"/>
  <c r="A69" i="17" s="1"/>
  <c r="A86" i="17" s="1"/>
  <c r="A8" i="17"/>
  <c r="A23" i="17" s="1"/>
  <c r="A38" i="17" s="1"/>
  <c r="A53" i="17" s="1"/>
  <c r="A68" i="17" s="1"/>
  <c r="A85" i="17" s="1"/>
  <c r="A7" i="17"/>
  <c r="A114" i="16"/>
  <c r="A99" i="16"/>
  <c r="A84" i="16"/>
  <c r="A37" i="16"/>
  <c r="A22" i="16"/>
  <c r="A19" i="16"/>
  <c r="A34" i="16" s="1"/>
  <c r="A49" i="16" s="1"/>
  <c r="A64" i="16" s="1"/>
  <c r="A79" i="16" s="1"/>
  <c r="A96" i="16" s="1"/>
  <c r="A17" i="16"/>
  <c r="A32" i="16" s="1"/>
  <c r="A47" i="16" s="1"/>
  <c r="A62" i="16" s="1"/>
  <c r="A77" i="16" s="1"/>
  <c r="A94" i="16" s="1"/>
  <c r="A16" i="16"/>
  <c r="A31" i="16" s="1"/>
  <c r="A46" i="16" s="1"/>
  <c r="A61" i="16" s="1"/>
  <c r="A76" i="16" s="1"/>
  <c r="A93" i="16" s="1"/>
  <c r="A15" i="16"/>
  <c r="A30" i="16" s="1"/>
  <c r="A45" i="16" s="1"/>
  <c r="A60" i="16" s="1"/>
  <c r="A75" i="16" s="1"/>
  <c r="A92" i="16" s="1"/>
  <c r="A14" i="16"/>
  <c r="A29" i="16" s="1"/>
  <c r="A44" i="16" s="1"/>
  <c r="A59" i="16" s="1"/>
  <c r="A74" i="16" s="1"/>
  <c r="A91" i="16" s="1"/>
  <c r="A13" i="16"/>
  <c r="A28" i="16" s="1"/>
  <c r="A43" i="16" s="1"/>
  <c r="A58" i="16" s="1"/>
  <c r="A73" i="16" s="1"/>
  <c r="A90" i="16" s="1"/>
  <c r="A12" i="16"/>
  <c r="A27" i="16" s="1"/>
  <c r="A42" i="16" s="1"/>
  <c r="A57" i="16" s="1"/>
  <c r="A72" i="16" s="1"/>
  <c r="A89" i="16" s="1"/>
  <c r="A11" i="16"/>
  <c r="A26" i="16" s="1"/>
  <c r="A41" i="16" s="1"/>
  <c r="A56" i="16" s="1"/>
  <c r="A71" i="16" s="1"/>
  <c r="A88" i="16" s="1"/>
  <c r="A10" i="16"/>
  <c r="A25" i="16" s="1"/>
  <c r="A40" i="16" s="1"/>
  <c r="A55" i="16" s="1"/>
  <c r="A70" i="16" s="1"/>
  <c r="A87" i="16" s="1"/>
  <c r="A9" i="16"/>
  <c r="A24" i="16" s="1"/>
  <c r="A39" i="16" s="1"/>
  <c r="A54" i="16" s="1"/>
  <c r="A69" i="16" s="1"/>
  <c r="A86" i="16" s="1"/>
  <c r="A8" i="16"/>
  <c r="A23" i="16" s="1"/>
  <c r="A38" i="16" s="1"/>
  <c r="A53" i="16" s="1"/>
  <c r="A68" i="16" s="1"/>
  <c r="A85" i="16" s="1"/>
  <c r="A7" i="16"/>
  <c r="A100" i="16" l="1"/>
  <c r="A115" i="16" s="1"/>
  <c r="A130" i="16" s="1"/>
  <c r="A145" i="16" s="1"/>
  <c r="A102" i="16"/>
  <c r="A117" i="16" s="1"/>
  <c r="A132" i="16" s="1"/>
  <c r="A147" i="16" s="1"/>
  <c r="A104" i="16"/>
  <c r="A119" i="16" s="1"/>
  <c r="A134" i="16" s="1"/>
  <c r="A149" i="16" s="1"/>
  <c r="A106" i="16"/>
  <c r="A121" i="16" s="1"/>
  <c r="A136" i="16" s="1"/>
  <c r="A151" i="16" s="1"/>
  <c r="A108" i="16"/>
  <c r="A123" i="16" s="1"/>
  <c r="A138" i="16" s="1"/>
  <c r="A153" i="16" s="1"/>
  <c r="A111" i="16"/>
  <c r="A126" i="16" s="1"/>
  <c r="A141" i="16" s="1"/>
  <c r="A156" i="16" s="1"/>
  <c r="A101" i="17"/>
  <c r="A116" i="17" s="1"/>
  <c r="A131" i="17" s="1"/>
  <c r="A146" i="17" s="1"/>
  <c r="A103" i="17"/>
  <c r="A118" i="17" s="1"/>
  <c r="A133" i="17" s="1"/>
  <c r="A148" i="17" s="1"/>
  <c r="A105" i="17"/>
  <c r="A120" i="17" s="1"/>
  <c r="A135" i="17" s="1"/>
  <c r="A150" i="17" s="1"/>
  <c r="A107" i="17"/>
  <c r="A122" i="17" s="1"/>
  <c r="A137" i="17" s="1"/>
  <c r="A152" i="17" s="1"/>
  <c r="A109" i="17"/>
  <c r="A124" i="17" s="1"/>
  <c r="A139" i="17" s="1"/>
  <c r="A154" i="17" s="1"/>
  <c r="A100" i="18"/>
  <c r="A115" i="18" s="1"/>
  <c r="A130" i="18" s="1"/>
  <c r="A145" i="18" s="1"/>
  <c r="A102" i="18"/>
  <c r="A117" i="18" s="1"/>
  <c r="A132" i="18" s="1"/>
  <c r="A147" i="18" s="1"/>
  <c r="A104" i="18"/>
  <c r="A119" i="18" s="1"/>
  <c r="A134" i="18" s="1"/>
  <c r="A149" i="18" s="1"/>
  <c r="A106" i="18"/>
  <c r="A121" i="18" s="1"/>
  <c r="A136" i="18" s="1"/>
  <c r="A151" i="18" s="1"/>
  <c r="A108" i="18"/>
  <c r="A123" i="18" s="1"/>
  <c r="A138" i="18" s="1"/>
  <c r="A153" i="18" s="1"/>
  <c r="A111" i="18"/>
  <c r="A126" i="18" s="1"/>
  <c r="A141" i="18" s="1"/>
  <c r="A156" i="18" s="1"/>
  <c r="A101" i="16"/>
  <c r="A116" i="16" s="1"/>
  <c r="A131" i="16" s="1"/>
  <c r="A146" i="16" s="1"/>
  <c r="A103" i="16"/>
  <c r="A118" i="16" s="1"/>
  <c r="A133" i="16" s="1"/>
  <c r="A148" i="16" s="1"/>
  <c r="A105" i="16"/>
  <c r="A120" i="16" s="1"/>
  <c r="A135" i="16" s="1"/>
  <c r="A150" i="16" s="1"/>
  <c r="A107" i="16"/>
  <c r="A122" i="16" s="1"/>
  <c r="A137" i="16" s="1"/>
  <c r="A152" i="16" s="1"/>
  <c r="A109" i="16"/>
  <c r="A124" i="16" s="1"/>
  <c r="A139" i="16" s="1"/>
  <c r="A154" i="16" s="1"/>
  <c r="A100" i="17"/>
  <c r="A115" i="17" s="1"/>
  <c r="A130" i="17" s="1"/>
  <c r="A145" i="17" s="1"/>
  <c r="A102" i="17"/>
  <c r="A117" i="17" s="1"/>
  <c r="A132" i="17" s="1"/>
  <c r="A147" i="17" s="1"/>
  <c r="A104" i="17"/>
  <c r="A119" i="17" s="1"/>
  <c r="A134" i="17" s="1"/>
  <c r="A149" i="17" s="1"/>
  <c r="A106" i="17"/>
  <c r="A121" i="17" s="1"/>
  <c r="A136" i="17" s="1"/>
  <c r="A151" i="17" s="1"/>
  <c r="A108" i="17"/>
  <c r="A123" i="17" s="1"/>
  <c r="A138" i="17" s="1"/>
  <c r="A153" i="17" s="1"/>
  <c r="A111" i="17"/>
  <c r="A126" i="17" s="1"/>
  <c r="A141" i="17" s="1"/>
  <c r="A156" i="17" s="1"/>
  <c r="A101" i="18"/>
  <c r="A116" i="18" s="1"/>
  <c r="A131" i="18" s="1"/>
  <c r="A146" i="18" s="1"/>
  <c r="A103" i="18"/>
  <c r="A118" i="18" s="1"/>
  <c r="A133" i="18" s="1"/>
  <c r="A148" i="18" s="1"/>
  <c r="A105" i="18"/>
  <c r="A120" i="18" s="1"/>
  <c r="A135" i="18" s="1"/>
  <c r="A150" i="18" s="1"/>
  <c r="A107" i="18"/>
  <c r="A122" i="18" s="1"/>
  <c r="A137" i="18" s="1"/>
  <c r="A152" i="18" s="1"/>
  <c r="A109" i="18"/>
  <c r="A124" i="18" s="1"/>
  <c r="A139" i="18" s="1"/>
  <c r="A154" i="18" s="1"/>
  <c r="B1" i="4"/>
  <c r="D69" i="5"/>
  <c r="D44" i="5" s="1"/>
  <c r="D63" i="5"/>
  <c r="D57" i="5"/>
  <c r="A470" i="5"/>
  <c r="A476" i="5" s="1"/>
  <c r="D49" i="5"/>
  <c r="D48" i="5"/>
  <c r="D47" i="5"/>
  <c r="A431" i="5"/>
  <c r="A440" i="5" s="1"/>
  <c r="A432" i="5"/>
  <c r="A441" i="5" s="1"/>
  <c r="A433" i="5"/>
  <c r="A442" i="5" s="1"/>
  <c r="A434" i="5"/>
  <c r="A443" i="5" s="1"/>
  <c r="A430" i="5"/>
  <c r="A439" i="5" s="1"/>
  <c r="D484" i="5"/>
  <c r="B1" i="21" l="1"/>
  <c r="B1" i="5"/>
  <c r="B1" i="15"/>
  <c r="B1" i="1"/>
  <c r="B1" i="2"/>
  <c r="D28" i="5"/>
  <c r="A49" i="5"/>
  <c r="A48" i="5"/>
  <c r="A47" i="5"/>
  <c r="D34" i="5" l="1"/>
  <c r="A453" i="5"/>
  <c r="A456" i="5" s="1"/>
  <c r="A452" i="5"/>
  <c r="A455" i="5" s="1"/>
  <c r="A454" i="5"/>
  <c r="A451" i="5"/>
  <c r="A448" i="5"/>
  <c r="A59" i="5"/>
  <c r="A65" i="5" s="1"/>
  <c r="A467" i="5"/>
  <c r="A473" i="5" s="1"/>
  <c r="A468" i="5"/>
  <c r="A474" i="5" s="1"/>
  <c r="A469" i="5"/>
  <c r="A475" i="5" s="1"/>
  <c r="A466" i="5"/>
  <c r="A472" i="5" s="1"/>
  <c r="A63" i="5" l="1"/>
  <c r="A69" i="5" s="1"/>
  <c r="D38" i="5"/>
  <c r="A61" i="5"/>
  <c r="A67" i="5" s="1"/>
  <c r="A62" i="5"/>
  <c r="A68" i="5" s="1"/>
  <c r="A60" i="5"/>
  <c r="A66" i="5" s="1"/>
  <c r="D32" i="5"/>
  <c r="A488" i="5"/>
  <c r="A495" i="5" s="1"/>
  <c r="A489" i="5"/>
  <c r="A496" i="5" s="1"/>
  <c r="A490" i="5"/>
  <c r="A497" i="5" s="1"/>
  <c r="A491" i="5"/>
  <c r="A498" i="5" s="1"/>
  <c r="A487" i="5"/>
  <c r="A494" i="5" s="1"/>
  <c r="A79" i="5"/>
  <c r="A84" i="5" s="1"/>
  <c r="A80" i="5"/>
  <c r="A85" i="5" s="1"/>
  <c r="A81" i="5"/>
  <c r="A86" i="5" s="1"/>
  <c r="A78" i="5"/>
  <c r="A83" i="5" s="1"/>
  <c r="D24" i="5"/>
  <c r="E24" i="5"/>
  <c r="D18" i="5"/>
  <c r="A35" i="5"/>
  <c r="A41" i="5" s="1"/>
  <c r="A36" i="5"/>
  <c r="A42" i="5" s="1"/>
  <c r="A37" i="5"/>
  <c r="A43" i="5" s="1"/>
  <c r="A38" i="5"/>
  <c r="A44" i="5" s="1"/>
  <c r="A34" i="5"/>
  <c r="A40" i="5" s="1"/>
  <c r="A15" i="5"/>
  <c r="A21" i="5" s="1"/>
  <c r="A16" i="5"/>
  <c r="A22" i="5" s="1"/>
  <c r="A17" i="5"/>
  <c r="A23" i="5" s="1"/>
  <c r="A18" i="5"/>
  <c r="A24" i="5" s="1"/>
  <c r="A14" i="5"/>
  <c r="A20" i="5" s="1"/>
  <c r="D12" i="5"/>
  <c r="D74" i="5" l="1"/>
  <c r="D76" i="5"/>
  <c r="D75" i="5"/>
  <c r="D73" i="5"/>
  <c r="A166" i="5" l="1"/>
  <c r="A160" i="5"/>
  <c r="A154" i="5"/>
  <c r="A148" i="5"/>
  <c r="A142" i="5"/>
  <c r="A134" i="5"/>
  <c r="A128" i="5"/>
  <c r="A122" i="5"/>
  <c r="A114" i="5"/>
  <c r="A108" i="5"/>
  <c r="A102" i="5"/>
  <c r="A27" i="4" l="1"/>
  <c r="A26" i="4"/>
  <c r="A22" i="4"/>
  <c r="A21" i="4"/>
  <c r="A20" i="4"/>
  <c r="A19" i="4"/>
  <c r="A207" i="5" l="1"/>
  <c r="A201" i="5"/>
  <c r="A195" i="5"/>
  <c r="D68" i="5" l="1"/>
  <c r="D43" i="5" s="1"/>
  <c r="D67" i="5"/>
  <c r="D42" i="5" s="1"/>
  <c r="D66" i="5"/>
  <c r="D61" i="5"/>
  <c r="D36" i="5" s="1"/>
  <c r="D62" i="5"/>
  <c r="D37" i="5" s="1"/>
  <c r="D60" i="5"/>
  <c r="D55" i="5"/>
  <c r="D30" i="5" s="1"/>
  <c r="D56" i="5"/>
  <c r="D54" i="5"/>
  <c r="D31" i="5"/>
  <c r="A403" i="5"/>
  <c r="A413" i="5" s="1"/>
  <c r="D41" i="5" l="1"/>
  <c r="D29" i="5"/>
  <c r="D35" i="5"/>
  <c r="D22" i="5"/>
  <c r="D23" i="5"/>
  <c r="E23" i="5"/>
  <c r="D21" i="5"/>
  <c r="D20" i="5"/>
  <c r="D16" i="5"/>
  <c r="D17" i="5"/>
  <c r="D15" i="5"/>
  <c r="D14" i="5"/>
  <c r="D10" i="5"/>
  <c r="D11" i="5"/>
  <c r="D9" i="5"/>
  <c r="D8" i="5"/>
  <c r="D85" i="5" l="1"/>
  <c r="D84" i="5"/>
  <c r="D86" i="5"/>
  <c r="D79" i="5"/>
  <c r="D81" i="5"/>
  <c r="D80" i="5"/>
  <c r="D78" i="5"/>
  <c r="D83" i="5"/>
  <c r="A493" i="5" l="1"/>
  <c r="A486" i="5"/>
  <c r="A479" i="5"/>
  <c r="A438" i="5"/>
  <c r="A429" i="5"/>
  <c r="A420" i="5"/>
  <c r="A409" i="5"/>
  <c r="A399" i="5"/>
  <c r="A389" i="5"/>
  <c r="A37" i="4"/>
  <c r="A36" i="4"/>
  <c r="A35" i="4"/>
  <c r="A34" i="4"/>
  <c r="A33" i="4"/>
  <c r="A227" i="5" l="1"/>
  <c r="A221" i="5"/>
  <c r="A215" i="5"/>
  <c r="A400" i="5" l="1"/>
  <c r="A410" i="5" s="1"/>
  <c r="A401" i="5"/>
  <c r="A411" i="5" s="1"/>
  <c r="A402" i="5"/>
  <c r="A412" i="5" s="1"/>
  <c r="A164" i="18" l="1"/>
  <c r="A163" i="18"/>
  <c r="A162" i="18"/>
  <c r="A161" i="18"/>
  <c r="A160" i="18"/>
  <c r="B2" i="18"/>
  <c r="A164" i="17"/>
  <c r="A163" i="17"/>
  <c r="A162" i="17"/>
  <c r="A161" i="17"/>
  <c r="A160" i="17"/>
  <c r="B2" i="17"/>
  <c r="A164" i="16"/>
  <c r="A163" i="16"/>
  <c r="A162" i="16"/>
  <c r="A161" i="16"/>
  <c r="A160" i="16"/>
  <c r="B2" i="16"/>
  <c r="A278" i="5" l="1"/>
  <c r="A385" i="5"/>
  <c r="A376" i="5"/>
  <c r="A383" i="5"/>
  <c r="A377" i="5"/>
  <c r="A384" i="5"/>
  <c r="A378" i="5"/>
  <c r="A361" i="5"/>
  <c r="A369" i="5" s="1"/>
  <c r="A362" i="5"/>
  <c r="A370" i="5" s="1"/>
  <c r="A356" i="5"/>
  <c r="A363" i="5"/>
  <c r="A371" i="5" s="1"/>
  <c r="A347" i="5"/>
  <c r="A354" i="5"/>
  <c r="A348" i="5"/>
  <c r="A355" i="5"/>
  <c r="A349" i="5"/>
  <c r="A336" i="5"/>
  <c r="A327" i="5"/>
  <c r="A334" i="5"/>
  <c r="A328" i="5"/>
  <c r="A335" i="5"/>
  <c r="A322" i="5"/>
  <c r="A329" i="5"/>
  <c r="A320" i="5"/>
  <c r="A321" i="5"/>
  <c r="A312" i="5"/>
  <c r="A313" i="5"/>
  <c r="A307" i="5"/>
  <c r="A314" i="5"/>
  <c r="A298" i="5"/>
  <c r="A305" i="5"/>
  <c r="A299" i="5"/>
  <c r="A306" i="5"/>
  <c r="A300" i="5"/>
  <c r="A292" i="5"/>
  <c r="A283" i="5"/>
  <c r="A290" i="5"/>
  <c r="A284" i="5"/>
  <c r="A291" i="5"/>
  <c r="A285" i="5"/>
  <c r="A214" i="21"/>
  <c r="A206" i="21"/>
  <c r="A212" i="21"/>
  <c r="A207" i="21"/>
  <c r="A213" i="21"/>
  <c r="A202" i="21"/>
  <c r="A208" i="21"/>
  <c r="A200" i="21"/>
  <c r="A201" i="21"/>
  <c r="A193" i="21"/>
  <c r="A194" i="21"/>
  <c r="A189" i="21"/>
  <c r="A195" i="21"/>
  <c r="A182" i="21"/>
  <c r="A188" i="21"/>
  <c r="A181" i="21"/>
  <c r="A187" i="21"/>
  <c r="A183" i="21"/>
  <c r="A171" i="21"/>
  <c r="A66" i="21" s="1"/>
  <c r="A163" i="21"/>
  <c r="A58" i="21" s="1"/>
  <c r="A169" i="21"/>
  <c r="A64" i="21" s="1"/>
  <c r="A164" i="21"/>
  <c r="A59" i="21" s="1"/>
  <c r="A170" i="21"/>
  <c r="A65" i="21" s="1"/>
  <c r="A159" i="21"/>
  <c r="A54" i="21" s="1"/>
  <c r="A165" i="21"/>
  <c r="A60" i="21" s="1"/>
  <c r="A157" i="21"/>
  <c r="A158" i="21"/>
  <c r="A151" i="21"/>
  <c r="A46" i="21" s="1"/>
  <c r="A150" i="21"/>
  <c r="A146" i="21"/>
  <c r="A41" i="21" s="1"/>
  <c r="A152" i="21"/>
  <c r="A47" i="21" s="1"/>
  <c r="A138" i="21"/>
  <c r="A33" i="21" s="1"/>
  <c r="A144" i="21"/>
  <c r="A39" i="21" s="1"/>
  <c r="A139" i="21"/>
  <c r="A34" i="21" s="1"/>
  <c r="A145" i="21"/>
  <c r="A40" i="21" s="1"/>
  <c r="A140" i="21"/>
  <c r="A35" i="21" s="1"/>
  <c r="A121" i="21"/>
  <c r="A15" i="21" s="1"/>
  <c r="A127" i="21"/>
  <c r="A21" i="21" s="1"/>
  <c r="A133" i="21"/>
  <c r="A27" i="21" s="1"/>
  <c r="A277" i="5"/>
  <c r="A53" i="21"/>
  <c r="A132" i="21"/>
  <c r="A26" i="21" s="1"/>
  <c r="A120" i="21"/>
  <c r="A14" i="21" s="1"/>
  <c r="A126" i="21"/>
  <c r="A20" i="21" s="1"/>
  <c r="A276" i="5"/>
  <c r="A52" i="21"/>
  <c r="A131" i="21"/>
  <c r="A25" i="21" s="1"/>
  <c r="A119" i="21"/>
  <c r="A13" i="21" s="1"/>
  <c r="A45" i="21"/>
  <c r="A125" i="21"/>
  <c r="A19" i="21" s="1"/>
  <c r="A63" i="21"/>
  <c r="A51" i="21"/>
  <c r="A38" i="21"/>
  <c r="A24" i="21"/>
  <c r="A12" i="21"/>
  <c r="A57" i="21"/>
  <c r="A44" i="21"/>
  <c r="A32" i="21"/>
  <c r="A18" i="21"/>
  <c r="A53" i="2"/>
  <c r="A38" i="2"/>
  <c r="A68" i="2"/>
  <c r="A185" i="5"/>
  <c r="A191" i="5"/>
  <c r="A179" i="5"/>
  <c r="A186" i="5"/>
  <c r="A192" i="5"/>
  <c r="A180" i="5"/>
  <c r="A184" i="5"/>
  <c r="A190" i="5"/>
  <c r="A178" i="5"/>
  <c r="A183" i="5"/>
  <c r="A189" i="5"/>
  <c r="A177" i="5"/>
  <c r="A162" i="5"/>
  <c r="A150" i="5"/>
  <c r="A168" i="5"/>
  <c r="A156" i="5"/>
  <c r="A144" i="5"/>
  <c r="A164" i="5"/>
  <c r="A152" i="5"/>
  <c r="A170" i="5"/>
  <c r="A158" i="5"/>
  <c r="A146" i="5"/>
  <c r="A163" i="5"/>
  <c r="A151" i="5"/>
  <c r="A169" i="5"/>
  <c r="A157" i="5"/>
  <c r="A145" i="5"/>
  <c r="A165" i="5"/>
  <c r="A153" i="5"/>
  <c r="A171" i="5"/>
  <c r="A159" i="5"/>
  <c r="A147" i="5"/>
  <c r="A130" i="5"/>
  <c r="A136" i="5"/>
  <c r="A124" i="5"/>
  <c r="A132" i="5"/>
  <c r="A138" i="5"/>
  <c r="A126" i="5"/>
  <c r="A131" i="5"/>
  <c r="A137" i="5"/>
  <c r="A125" i="5"/>
  <c r="A133" i="5"/>
  <c r="A139" i="5"/>
  <c r="A127" i="5"/>
  <c r="A110" i="5"/>
  <c r="A116" i="5"/>
  <c r="A104" i="5"/>
  <c r="A112" i="5"/>
  <c r="A118" i="5"/>
  <c r="A106" i="5"/>
  <c r="A111" i="5"/>
  <c r="A117" i="5"/>
  <c r="A105" i="5"/>
  <c r="A113" i="5"/>
  <c r="A119" i="5"/>
  <c r="A107" i="5"/>
  <c r="A203" i="5"/>
  <c r="A209" i="5"/>
  <c r="A197" i="5"/>
  <c r="A205" i="5"/>
  <c r="A211" i="5"/>
  <c r="A199" i="5"/>
  <c r="A204" i="5"/>
  <c r="A210" i="5"/>
  <c r="A198" i="5"/>
  <c r="A206" i="5"/>
  <c r="A212" i="5"/>
  <c r="A200" i="5"/>
  <c r="A224" i="5"/>
  <c r="A230" i="5"/>
  <c r="A218" i="5"/>
  <c r="A225" i="5"/>
  <c r="A231" i="5"/>
  <c r="A219" i="5"/>
  <c r="A226" i="5"/>
  <c r="A232" i="5"/>
  <c r="A220" i="5"/>
  <c r="A223" i="5"/>
  <c r="H223" i="5" s="1"/>
  <c r="A229" i="5"/>
  <c r="H229" i="5" s="1"/>
  <c r="A217" i="5"/>
  <c r="H217" i="5" s="1"/>
  <c r="G133" i="5" l="1"/>
  <c r="F133" i="5"/>
  <c r="E133" i="5"/>
  <c r="D133" i="5"/>
  <c r="H133" i="5"/>
  <c r="D132" i="5"/>
  <c r="H132" i="5"/>
  <c r="G132" i="5"/>
  <c r="F132" i="5"/>
  <c r="E132" i="5"/>
  <c r="E131" i="5"/>
  <c r="D131" i="5"/>
  <c r="H131" i="5"/>
  <c r="G131" i="5"/>
  <c r="F131" i="5"/>
  <c r="F130" i="5"/>
  <c r="E130" i="5"/>
  <c r="D130" i="5"/>
  <c r="H130" i="5"/>
  <c r="G130" i="5"/>
  <c r="H224" i="5"/>
  <c r="H219" i="5"/>
  <c r="H230" i="5"/>
  <c r="H226" i="5"/>
  <c r="H231" i="5"/>
  <c r="H232" i="5"/>
  <c r="F232" i="5"/>
  <c r="G232" i="5"/>
  <c r="D232" i="5"/>
  <c r="E232" i="5"/>
  <c r="F231" i="5"/>
  <c r="G231" i="5"/>
  <c r="D231" i="5"/>
  <c r="E231" i="5"/>
  <c r="F230" i="5"/>
  <c r="G230" i="5"/>
  <c r="D230" i="5"/>
  <c r="E230" i="5"/>
  <c r="F229" i="5"/>
  <c r="G229" i="5"/>
  <c r="D229" i="5"/>
  <c r="E229" i="5"/>
  <c r="F226" i="5"/>
  <c r="G226" i="5"/>
  <c r="D226" i="5"/>
  <c r="E226" i="5"/>
  <c r="H225" i="5"/>
  <c r="F225" i="5"/>
  <c r="G225" i="5"/>
  <c r="D225" i="5"/>
  <c r="E225" i="5"/>
  <c r="F224" i="5"/>
  <c r="G224" i="5"/>
  <c r="D224" i="5"/>
  <c r="E224" i="5"/>
  <c r="F223" i="5"/>
  <c r="G223" i="5"/>
  <c r="D223" i="5"/>
  <c r="E223" i="5"/>
  <c r="H220" i="5"/>
  <c r="H218" i="5"/>
  <c r="F220" i="5"/>
  <c r="G220" i="5"/>
  <c r="D220" i="5"/>
  <c r="E220" i="5"/>
  <c r="F219" i="5"/>
  <c r="G219" i="5"/>
  <c r="D219" i="5"/>
  <c r="E219" i="5"/>
  <c r="F218" i="5"/>
  <c r="G218" i="5"/>
  <c r="D218" i="5"/>
  <c r="E218" i="5"/>
  <c r="F217" i="5"/>
  <c r="G217" i="5"/>
  <c r="D217" i="5"/>
  <c r="E217" i="5"/>
  <c r="H127" i="5"/>
  <c r="F127" i="5"/>
  <c r="D127" i="5"/>
  <c r="G127" i="5"/>
  <c r="E127" i="5"/>
  <c r="H137" i="5"/>
  <c r="F137" i="5"/>
  <c r="D137" i="5"/>
  <c r="G137" i="5"/>
  <c r="E137" i="5"/>
  <c r="G126" i="5"/>
  <c r="E126" i="5"/>
  <c r="H126" i="5"/>
  <c r="F126" i="5"/>
  <c r="D126" i="5"/>
  <c r="G136" i="5"/>
  <c r="E136" i="5"/>
  <c r="H136" i="5"/>
  <c r="F136" i="5"/>
  <c r="D136" i="5"/>
  <c r="H139" i="5"/>
  <c r="F139" i="5"/>
  <c r="D139" i="5"/>
  <c r="G139" i="5"/>
  <c r="E139" i="5"/>
  <c r="H125" i="5"/>
  <c r="F125" i="5"/>
  <c r="D125" i="5"/>
  <c r="G125" i="5"/>
  <c r="E125" i="5"/>
  <c r="G138" i="5"/>
  <c r="E138" i="5"/>
  <c r="H138" i="5"/>
  <c r="F138" i="5"/>
  <c r="D138" i="5"/>
  <c r="G124" i="5"/>
  <c r="E124" i="5"/>
  <c r="H124" i="5"/>
  <c r="F124" i="5"/>
  <c r="D124" i="5"/>
  <c r="E210" i="5"/>
  <c r="G210" i="5"/>
  <c r="D210" i="5"/>
  <c r="F210" i="5"/>
  <c r="H210" i="5"/>
  <c r="D209" i="5"/>
  <c r="F209" i="5"/>
  <c r="H209" i="5"/>
  <c r="E209" i="5"/>
  <c r="G209" i="5"/>
  <c r="E212" i="5"/>
  <c r="G212" i="5"/>
  <c r="D212" i="5"/>
  <c r="F212" i="5"/>
  <c r="H212" i="5"/>
  <c r="D211" i="5"/>
  <c r="F211" i="5"/>
  <c r="H211" i="5"/>
  <c r="E211" i="5"/>
  <c r="G211" i="5"/>
  <c r="E204" i="5"/>
  <c r="G204" i="5"/>
  <c r="D204" i="5"/>
  <c r="F204" i="5"/>
  <c r="H204" i="5"/>
  <c r="D203" i="5"/>
  <c r="F203" i="5"/>
  <c r="H203" i="5"/>
  <c r="E203" i="5"/>
  <c r="G203" i="5"/>
  <c r="E206" i="5"/>
  <c r="G206" i="5"/>
  <c r="D206" i="5"/>
  <c r="F206" i="5"/>
  <c r="H206" i="5"/>
  <c r="D205" i="5"/>
  <c r="F205" i="5"/>
  <c r="H205" i="5"/>
  <c r="E205" i="5"/>
  <c r="G205" i="5"/>
  <c r="G198" i="5"/>
  <c r="F198" i="5"/>
  <c r="H198" i="5"/>
  <c r="F197" i="5"/>
  <c r="H197" i="5"/>
  <c r="G197" i="5"/>
  <c r="G200" i="5"/>
  <c r="F200" i="5"/>
  <c r="H200" i="5"/>
  <c r="F199" i="5"/>
  <c r="H199" i="5"/>
  <c r="G199" i="5"/>
  <c r="D198" i="5"/>
  <c r="E198" i="5"/>
  <c r="D197" i="5"/>
  <c r="E197" i="5"/>
  <c r="D200" i="5"/>
  <c r="E200" i="5"/>
  <c r="D199" i="5"/>
  <c r="E199" i="5"/>
  <c r="A78" i="21"/>
  <c r="G119" i="5"/>
  <c r="E119" i="5"/>
  <c r="H119" i="5"/>
  <c r="F119" i="5"/>
  <c r="D119" i="5"/>
  <c r="G105" i="5"/>
  <c r="E105" i="5"/>
  <c r="H105" i="5"/>
  <c r="F105" i="5"/>
  <c r="D105" i="5"/>
  <c r="H104" i="5"/>
  <c r="F104" i="5"/>
  <c r="D104" i="5"/>
  <c r="G104" i="5"/>
  <c r="E104" i="5"/>
  <c r="H113" i="5"/>
  <c r="F113" i="5"/>
  <c r="D113" i="5"/>
  <c r="G113" i="5"/>
  <c r="E113" i="5"/>
  <c r="H118" i="5"/>
  <c r="F118" i="5"/>
  <c r="D118" i="5"/>
  <c r="G118" i="5"/>
  <c r="E118" i="5"/>
  <c r="G112" i="5"/>
  <c r="E112" i="5"/>
  <c r="H112" i="5"/>
  <c r="F112" i="5"/>
  <c r="D112" i="5"/>
  <c r="G107" i="5"/>
  <c r="E107" i="5"/>
  <c r="H107" i="5"/>
  <c r="F107" i="5"/>
  <c r="D107" i="5"/>
  <c r="G117" i="5"/>
  <c r="E117" i="5"/>
  <c r="H117" i="5"/>
  <c r="F117" i="5"/>
  <c r="D117" i="5"/>
  <c r="H111" i="5"/>
  <c r="F111" i="5"/>
  <c r="D111" i="5"/>
  <c r="G111" i="5"/>
  <c r="E111" i="5"/>
  <c r="H106" i="5"/>
  <c r="F106" i="5"/>
  <c r="D106" i="5"/>
  <c r="G106" i="5"/>
  <c r="E106" i="5"/>
  <c r="H116" i="5"/>
  <c r="F116" i="5"/>
  <c r="D116" i="5"/>
  <c r="G116" i="5"/>
  <c r="E116" i="5"/>
  <c r="G110" i="5"/>
  <c r="E110" i="5"/>
  <c r="H110" i="5"/>
  <c r="F110" i="5"/>
  <c r="D110" i="5"/>
  <c r="B2" i="6"/>
  <c r="A84" i="21" l="1"/>
  <c r="A77" i="21"/>
  <c r="A76" i="21"/>
  <c r="A75" i="21"/>
  <c r="A182" i="5"/>
  <c r="A188" i="5"/>
  <c r="A176" i="5"/>
  <c r="A161" i="5"/>
  <c r="A149" i="5"/>
  <c r="A167" i="5"/>
  <c r="A155" i="5"/>
  <c r="A143" i="5"/>
  <c r="A129" i="5"/>
  <c r="A135" i="5"/>
  <c r="A123" i="5"/>
  <c r="A109" i="5"/>
  <c r="A115" i="5"/>
  <c r="A103" i="5"/>
  <c r="A202" i="5"/>
  <c r="A208" i="5"/>
  <c r="A196" i="5"/>
  <c r="A222" i="5"/>
  <c r="H222" i="5" s="1"/>
  <c r="A228" i="5"/>
  <c r="H228" i="5" s="1"/>
  <c r="A216" i="5"/>
  <c r="H216" i="5" s="1"/>
  <c r="A94" i="5"/>
  <c r="A98" i="5" s="1"/>
  <c r="A45" i="4"/>
  <c r="A44" i="4"/>
  <c r="A43" i="4"/>
  <c r="A42" i="4"/>
  <c r="A41" i="4"/>
  <c r="F228" i="5" l="1"/>
  <c r="G228" i="5"/>
  <c r="D228" i="5"/>
  <c r="E228" i="5"/>
  <c r="F222" i="5"/>
  <c r="G222" i="5"/>
  <c r="D222" i="5"/>
  <c r="E222" i="5"/>
  <c r="F216" i="5"/>
  <c r="G216" i="5"/>
  <c r="D216" i="5"/>
  <c r="E216" i="5"/>
  <c r="H123" i="5"/>
  <c r="F123" i="5"/>
  <c r="D123" i="5"/>
  <c r="G123" i="5"/>
  <c r="E123" i="5"/>
  <c r="H135" i="5"/>
  <c r="F135" i="5"/>
  <c r="D135" i="5"/>
  <c r="G135" i="5"/>
  <c r="E135" i="5"/>
  <c r="G129" i="5"/>
  <c r="E129" i="5"/>
  <c r="H129" i="5"/>
  <c r="F129" i="5"/>
  <c r="D129" i="5"/>
  <c r="D208" i="5"/>
  <c r="E208" i="5"/>
  <c r="G208" i="5"/>
  <c r="F208" i="5"/>
  <c r="H208" i="5"/>
  <c r="D202" i="5"/>
  <c r="E202" i="5"/>
  <c r="G202" i="5"/>
  <c r="F202" i="5"/>
  <c r="H202" i="5"/>
  <c r="E196" i="5"/>
  <c r="G196" i="5"/>
  <c r="H196" i="5"/>
  <c r="F196" i="5"/>
  <c r="D196" i="5"/>
  <c r="A90" i="21"/>
  <c r="A83" i="21"/>
  <c r="A82" i="21"/>
  <c r="A81" i="21"/>
  <c r="G103" i="5"/>
  <c r="E103" i="5"/>
  <c r="H103" i="5"/>
  <c r="F103" i="5"/>
  <c r="D103" i="5"/>
  <c r="G115" i="5"/>
  <c r="E115" i="5"/>
  <c r="H115" i="5"/>
  <c r="F115" i="5"/>
  <c r="D115" i="5"/>
  <c r="H109" i="5"/>
  <c r="F109" i="5"/>
  <c r="D109" i="5"/>
  <c r="G109" i="5"/>
  <c r="E109" i="5"/>
  <c r="A18" i="18"/>
  <c r="A33" i="18" s="1"/>
  <c r="A48" i="18" s="1"/>
  <c r="A63" i="18" s="1"/>
  <c r="A78" i="18" s="1"/>
  <c r="A95" i="18" s="1"/>
  <c r="A18" i="17"/>
  <c r="A33" i="17" s="1"/>
  <c r="A48" i="17" s="1"/>
  <c r="A63" i="17" s="1"/>
  <c r="A78" i="17" s="1"/>
  <c r="A95" i="17" s="1"/>
  <c r="A18" i="16"/>
  <c r="A33" i="16" s="1"/>
  <c r="A48" i="16" s="1"/>
  <c r="A63" i="16" s="1"/>
  <c r="A78" i="16" s="1"/>
  <c r="A95" i="16" s="1"/>
  <c r="A471" i="5"/>
  <c r="A465" i="5"/>
  <c r="A459" i="5"/>
  <c r="A110" i="16" l="1"/>
  <c r="A125" i="16" s="1"/>
  <c r="A140" i="16" s="1"/>
  <c r="A155" i="16" s="1"/>
  <c r="A110" i="18"/>
  <c r="A125" i="18" s="1"/>
  <c r="A140" i="18" s="1"/>
  <c r="A155" i="18" s="1"/>
  <c r="A110" i="17"/>
  <c r="A125" i="17" s="1"/>
  <c r="A140" i="17" s="1"/>
  <c r="A155" i="17" s="1"/>
  <c r="A89" i="21"/>
  <c r="A88" i="21"/>
  <c r="A87" i="21"/>
  <c r="A39" i="5"/>
  <c r="A33" i="5"/>
  <c r="A27" i="5"/>
  <c r="A97" i="5"/>
  <c r="A93" i="5"/>
  <c r="A18" i="4"/>
  <c r="A25" i="4"/>
  <c r="A28" i="4"/>
  <c r="A29" i="4"/>
  <c r="A64" i="5"/>
  <c r="A58" i="5"/>
  <c r="A52" i="5"/>
  <c r="F99" i="5" l="1"/>
  <c r="E99" i="5"/>
  <c r="G99" i="5"/>
  <c r="H99" i="5"/>
  <c r="A97" i="21"/>
  <c r="H98" i="5"/>
  <c r="F98" i="5"/>
  <c r="D98" i="5"/>
  <c r="G98" i="5"/>
  <c r="E98" i="5"/>
  <c r="D99" i="5"/>
  <c r="G94" i="5"/>
  <c r="E94" i="5"/>
  <c r="H94" i="5"/>
  <c r="F94" i="5"/>
  <c r="D94" i="5"/>
  <c r="E95" i="5"/>
  <c r="D95" i="5"/>
  <c r="F95" i="5"/>
  <c r="G95" i="5"/>
  <c r="H95" i="5"/>
  <c r="E91" i="5"/>
  <c r="D91" i="5"/>
  <c r="F91" i="5"/>
  <c r="G91" i="5"/>
  <c r="H91" i="5"/>
  <c r="B1" i="17"/>
  <c r="B1" i="18"/>
  <c r="B1" i="16"/>
  <c r="A103" i="21" l="1"/>
  <c r="A96" i="21"/>
  <c r="A95" i="21"/>
  <c r="A94" i="21"/>
  <c r="A89" i="2"/>
  <c r="A123" i="2"/>
  <c r="A88" i="2"/>
  <c r="A115" i="2"/>
  <c r="A87" i="2"/>
  <c r="A107" i="2"/>
  <c r="A86" i="2"/>
  <c r="A99" i="2"/>
  <c r="A85" i="2"/>
  <c r="A91" i="2"/>
  <c r="A109" i="21" l="1"/>
  <c r="A102" i="21"/>
  <c r="A101" i="21"/>
  <c r="A100" i="21"/>
  <c r="A108" i="21" l="1"/>
  <c r="A107" i="21"/>
  <c r="A106" i="21"/>
  <c r="D30" i="4" l="1"/>
  <c r="D164" i="16" s="1"/>
  <c r="D160" i="15" l="1"/>
  <c r="D160" i="17"/>
  <c r="D162" i="1"/>
  <c r="D162" i="18"/>
  <c r="D162" i="16"/>
  <c r="D161" i="15"/>
  <c r="D161" i="17"/>
  <c r="D163" i="1"/>
  <c r="D163" i="18"/>
  <c r="D163" i="16"/>
  <c r="D164" i="15"/>
  <c r="D164" i="17"/>
  <c r="D160" i="1"/>
  <c r="D160" i="18"/>
  <c r="D160" i="16"/>
  <c r="D162" i="15"/>
  <c r="D162" i="17"/>
  <c r="D161" i="1"/>
  <c r="D161" i="18"/>
  <c r="D161" i="16"/>
  <c r="D163" i="15"/>
  <c r="D163" i="17"/>
  <c r="D164" i="1"/>
  <c r="D164" i="18"/>
  <c r="F30" i="4"/>
  <c r="F160" i="17" s="1"/>
  <c r="H30" i="4"/>
  <c r="E30" i="4"/>
  <c r="E160" i="16" s="1"/>
  <c r="G30" i="4"/>
  <c r="E11" i="16" l="1"/>
  <c r="E88" i="16" s="1"/>
  <c r="E11" i="17"/>
  <c r="E88" i="17" s="1"/>
  <c r="E11" i="18"/>
  <c r="E88" i="18" s="1"/>
  <c r="E11" i="15"/>
  <c r="E88" i="15" s="1"/>
  <c r="E11" i="1"/>
  <c r="E88" i="1" s="1"/>
  <c r="E15" i="16"/>
  <c r="E92" i="16" s="1"/>
  <c r="E15" i="18"/>
  <c r="E92" i="18" s="1"/>
  <c r="E15" i="17"/>
  <c r="E92" i="17" s="1"/>
  <c r="E15" i="15"/>
  <c r="E92" i="15" s="1"/>
  <c r="E15" i="1"/>
  <c r="E92" i="1" s="1"/>
  <c r="E16" i="17"/>
  <c r="E93" i="17" s="1"/>
  <c r="E16" i="18"/>
  <c r="E93" i="18" s="1"/>
  <c r="E16" i="1"/>
  <c r="E93" i="1" s="1"/>
  <c r="E16" i="15"/>
  <c r="E93" i="15" s="1"/>
  <c r="E16" i="16"/>
  <c r="E93" i="16" s="1"/>
  <c r="E18" i="1"/>
  <c r="E95" i="1" s="1"/>
  <c r="E18" i="17"/>
  <c r="E95" i="17" s="1"/>
  <c r="E18" i="16"/>
  <c r="E95" i="16" s="1"/>
  <c r="E18" i="18"/>
  <c r="E95" i="18" s="1"/>
  <c r="E18" i="15"/>
  <c r="E95" i="15" s="1"/>
  <c r="E17" i="16"/>
  <c r="E94" i="16" s="1"/>
  <c r="E17" i="18"/>
  <c r="E94" i="18" s="1"/>
  <c r="E17" i="1"/>
  <c r="E94" i="1" s="1"/>
  <c r="E17" i="17"/>
  <c r="E94" i="17" s="1"/>
  <c r="E17" i="15"/>
  <c r="E94" i="15" s="1"/>
  <c r="E19" i="17"/>
  <c r="E96" i="17" s="1"/>
  <c r="E19" i="15"/>
  <c r="E96" i="15" s="1"/>
  <c r="E19" i="18"/>
  <c r="E96" i="18" s="1"/>
  <c r="E19" i="1"/>
  <c r="E96" i="1" s="1"/>
  <c r="E19" i="16"/>
  <c r="E96" i="16" s="1"/>
  <c r="E8" i="15"/>
  <c r="E85" i="15" s="1"/>
  <c r="E8" i="18"/>
  <c r="E85" i="18" s="1"/>
  <c r="E8" i="1"/>
  <c r="E85" i="1" s="1"/>
  <c r="E8" i="17"/>
  <c r="E85" i="17" s="1"/>
  <c r="E8" i="16"/>
  <c r="E85" i="16" s="1"/>
  <c r="G11" i="16"/>
  <c r="G88" i="16" s="1"/>
  <c r="G11" i="17"/>
  <c r="G88" i="17" s="1"/>
  <c r="G11" i="18"/>
  <c r="G88" i="18" s="1"/>
  <c r="G11" i="15"/>
  <c r="G88" i="15" s="1"/>
  <c r="G11" i="1"/>
  <c r="G88" i="1" s="1"/>
  <c r="G17" i="16"/>
  <c r="G94" i="16" s="1"/>
  <c r="G17" i="18"/>
  <c r="G94" i="18" s="1"/>
  <c r="G17" i="1"/>
  <c r="G94" i="1" s="1"/>
  <c r="G17" i="17"/>
  <c r="G94" i="17" s="1"/>
  <c r="G17" i="15"/>
  <c r="G94" i="15" s="1"/>
  <c r="G19" i="18"/>
  <c r="G96" i="18" s="1"/>
  <c r="G19" i="1"/>
  <c r="G96" i="1" s="1"/>
  <c r="G19" i="16"/>
  <c r="G96" i="16" s="1"/>
  <c r="G19" i="15"/>
  <c r="G96" i="15" s="1"/>
  <c r="G19" i="17"/>
  <c r="G96" i="17" s="1"/>
  <c r="G18" i="18"/>
  <c r="G95" i="18" s="1"/>
  <c r="G15" i="16"/>
  <c r="G92" i="16" s="1"/>
  <c r="G18" i="15"/>
  <c r="G95" i="15" s="1"/>
  <c r="G15" i="15"/>
  <c r="G92" i="15" s="1"/>
  <c r="G18" i="16"/>
  <c r="G95" i="16" s="1"/>
  <c r="G15" i="18"/>
  <c r="G92" i="18" s="1"/>
  <c r="G16" i="17"/>
  <c r="G93" i="17" s="1"/>
  <c r="G15" i="17"/>
  <c r="G92" i="17" s="1"/>
  <c r="G16" i="15"/>
  <c r="G93" i="15" s="1"/>
  <c r="G15" i="1"/>
  <c r="G92" i="1" s="1"/>
  <c r="G16" i="16"/>
  <c r="G93" i="16" s="1"/>
  <c r="G18" i="17"/>
  <c r="G95" i="17" s="1"/>
  <c r="G16" i="18"/>
  <c r="G93" i="18" s="1"/>
  <c r="G16" i="1"/>
  <c r="G93" i="1" s="1"/>
  <c r="G18" i="1"/>
  <c r="G95" i="1" s="1"/>
  <c r="G8" i="18"/>
  <c r="G85" i="18" s="1"/>
  <c r="G8" i="15"/>
  <c r="G85" i="15" s="1"/>
  <c r="G8" i="1"/>
  <c r="G85" i="1" s="1"/>
  <c r="G8" i="16"/>
  <c r="G85" i="16" s="1"/>
  <c r="G8" i="17"/>
  <c r="G85" i="17" s="1"/>
  <c r="H11" i="16"/>
  <c r="H88" i="16" s="1"/>
  <c r="H11" i="17"/>
  <c r="H88" i="17" s="1"/>
  <c r="H11" i="18"/>
  <c r="H88" i="18" s="1"/>
  <c r="H11" i="15"/>
  <c r="H88" i="15" s="1"/>
  <c r="H11" i="1"/>
  <c r="H88" i="1" s="1"/>
  <c r="H17" i="1"/>
  <c r="H94" i="1" s="1"/>
  <c r="H17" i="17"/>
  <c r="H94" i="17" s="1"/>
  <c r="H17" i="15"/>
  <c r="H94" i="15" s="1"/>
  <c r="H17" i="16"/>
  <c r="H94" i="16" s="1"/>
  <c r="H17" i="18"/>
  <c r="H94" i="18" s="1"/>
  <c r="H19" i="15"/>
  <c r="H96" i="15" s="1"/>
  <c r="H19" i="17"/>
  <c r="H96" i="17" s="1"/>
  <c r="H19" i="1"/>
  <c r="H96" i="1" s="1"/>
  <c r="H19" i="16"/>
  <c r="H96" i="16" s="1"/>
  <c r="H19" i="18"/>
  <c r="H96" i="18" s="1"/>
  <c r="H15" i="15"/>
  <c r="H92" i="15" s="1"/>
  <c r="H15" i="18"/>
  <c r="H92" i="18" s="1"/>
  <c r="H18" i="18"/>
  <c r="H95" i="18" s="1"/>
  <c r="H18" i="16"/>
  <c r="H95" i="16" s="1"/>
  <c r="H18" i="15"/>
  <c r="H95" i="15" s="1"/>
  <c r="H15" i="16"/>
  <c r="H92" i="16" s="1"/>
  <c r="H15" i="17"/>
  <c r="H92" i="17" s="1"/>
  <c r="H18" i="1"/>
  <c r="H95" i="1" s="1"/>
  <c r="H16" i="18"/>
  <c r="H93" i="18" s="1"/>
  <c r="H15" i="1"/>
  <c r="H92" i="1" s="1"/>
  <c r="H16" i="15"/>
  <c r="H93" i="15" s="1"/>
  <c r="H18" i="17"/>
  <c r="H95" i="17" s="1"/>
  <c r="H16" i="16"/>
  <c r="H93" i="16" s="1"/>
  <c r="H16" i="17"/>
  <c r="H93" i="17" s="1"/>
  <c r="H16" i="1"/>
  <c r="H93" i="1" s="1"/>
  <c r="H8" i="18"/>
  <c r="H85" i="18" s="1"/>
  <c r="H8" i="17"/>
  <c r="H85" i="17" s="1"/>
  <c r="H8" i="15"/>
  <c r="H85" i="15" s="1"/>
  <c r="H8" i="16"/>
  <c r="H85" i="16" s="1"/>
  <c r="H8" i="1"/>
  <c r="H85" i="1" s="1"/>
  <c r="G164" i="17"/>
  <c r="G164" i="15"/>
  <c r="G163" i="17"/>
  <c r="G163" i="15"/>
  <c r="G162" i="17"/>
  <c r="G162" i="15"/>
  <c r="G161" i="17"/>
  <c r="G161" i="15"/>
  <c r="G164" i="16"/>
  <c r="G164" i="18"/>
  <c r="G164" i="1"/>
  <c r="G163" i="16"/>
  <c r="G163" i="18"/>
  <c r="G163" i="1"/>
  <c r="G162" i="16"/>
  <c r="G162" i="18"/>
  <c r="G162" i="1"/>
  <c r="G161" i="16"/>
  <c r="G161" i="18"/>
  <c r="G161" i="1"/>
  <c r="H164" i="17"/>
  <c r="H164" i="15"/>
  <c r="H163" i="17"/>
  <c r="H163" i="15"/>
  <c r="H162" i="17"/>
  <c r="H162" i="15"/>
  <c r="H161" i="17"/>
  <c r="H161" i="15"/>
  <c r="H164" i="16"/>
  <c r="H164" i="18"/>
  <c r="H164" i="1"/>
  <c r="H163" i="16"/>
  <c r="H163" i="18"/>
  <c r="H163" i="1"/>
  <c r="H162" i="16"/>
  <c r="H162" i="18"/>
  <c r="H162" i="1"/>
  <c r="H161" i="16"/>
  <c r="H161" i="18"/>
  <c r="H161" i="1"/>
  <c r="E160" i="1"/>
  <c r="E160" i="18"/>
  <c r="H160" i="15"/>
  <c r="H160" i="17"/>
  <c r="G160" i="1"/>
  <c r="G160" i="18"/>
  <c r="G160" i="16"/>
  <c r="F160" i="15"/>
  <c r="F11" i="16"/>
  <c r="F88" i="16" s="1"/>
  <c r="F11" i="17"/>
  <c r="F88" i="17" s="1"/>
  <c r="F11" i="18"/>
  <c r="F88" i="18" s="1"/>
  <c r="F11" i="15"/>
  <c r="F88" i="15" s="1"/>
  <c r="F11" i="1"/>
  <c r="F88" i="1" s="1"/>
  <c r="F19" i="16"/>
  <c r="F96" i="16" s="1"/>
  <c r="F19" i="18"/>
  <c r="F96" i="18" s="1"/>
  <c r="F19" i="17"/>
  <c r="F96" i="17" s="1"/>
  <c r="F19" i="1"/>
  <c r="F96" i="1" s="1"/>
  <c r="F19" i="15"/>
  <c r="F96" i="15" s="1"/>
  <c r="F15" i="15"/>
  <c r="F92" i="15" s="1"/>
  <c r="F17" i="16"/>
  <c r="F94" i="16" s="1"/>
  <c r="F17" i="18"/>
  <c r="F94" i="18" s="1"/>
  <c r="F18" i="18"/>
  <c r="F95" i="18" s="1"/>
  <c r="F15" i="16"/>
  <c r="F92" i="16" s="1"/>
  <c r="F18" i="16"/>
  <c r="F95" i="16" s="1"/>
  <c r="F18" i="15"/>
  <c r="F95" i="15" s="1"/>
  <c r="F17" i="1"/>
  <c r="F94" i="1" s="1"/>
  <c r="F17" i="17"/>
  <c r="F94" i="17" s="1"/>
  <c r="F17" i="15"/>
  <c r="F94" i="15" s="1"/>
  <c r="F8" i="15"/>
  <c r="F85" i="15" s="1"/>
  <c r="F16" i="15"/>
  <c r="F93" i="15" s="1"/>
  <c r="F18" i="1"/>
  <c r="F95" i="1" s="1"/>
  <c r="F16" i="17"/>
  <c r="F93" i="17" s="1"/>
  <c r="F15" i="17"/>
  <c r="F92" i="17" s="1"/>
  <c r="F16" i="16"/>
  <c r="F93" i="16" s="1"/>
  <c r="F18" i="17"/>
  <c r="F95" i="17" s="1"/>
  <c r="F16" i="1"/>
  <c r="F93" i="1" s="1"/>
  <c r="F8" i="1"/>
  <c r="F85" i="1" s="1"/>
  <c r="F15" i="1"/>
  <c r="F92" i="1" s="1"/>
  <c r="F16" i="18"/>
  <c r="F93" i="18" s="1"/>
  <c r="F8" i="16"/>
  <c r="F85" i="16" s="1"/>
  <c r="F8" i="17"/>
  <c r="F85" i="17" s="1"/>
  <c r="F15" i="18"/>
  <c r="F92" i="18" s="1"/>
  <c r="F8" i="18"/>
  <c r="F85" i="18" s="1"/>
  <c r="D11" i="16"/>
  <c r="D88" i="16" s="1"/>
  <c r="D10" i="16"/>
  <c r="D87" i="16" s="1"/>
  <c r="D9" i="16"/>
  <c r="D86" i="16" s="1"/>
  <c r="D14" i="16"/>
  <c r="D91" i="16" s="1"/>
  <c r="D14" i="17"/>
  <c r="D91" i="17" s="1"/>
  <c r="D14" i="18"/>
  <c r="D91" i="18" s="1"/>
  <c r="D11" i="17"/>
  <c r="D88" i="17" s="1"/>
  <c r="D10" i="17"/>
  <c r="D87" i="17" s="1"/>
  <c r="D9" i="17"/>
  <c r="D86" i="17" s="1"/>
  <c r="D11" i="18"/>
  <c r="D88" i="18" s="1"/>
  <c r="D10" i="18"/>
  <c r="D87" i="18" s="1"/>
  <c r="D9" i="18"/>
  <c r="D86" i="18" s="1"/>
  <c r="D11" i="15"/>
  <c r="D88" i="15" s="1"/>
  <c r="D10" i="15"/>
  <c r="D87" i="15" s="1"/>
  <c r="D9" i="15"/>
  <c r="D86" i="15" s="1"/>
  <c r="D11" i="1"/>
  <c r="D88" i="1" s="1"/>
  <c r="D10" i="1"/>
  <c r="D87" i="1" s="1"/>
  <c r="D14" i="15"/>
  <c r="D91" i="15" s="1"/>
  <c r="D14" i="1"/>
  <c r="D91" i="1" s="1"/>
  <c r="D9" i="1"/>
  <c r="D86" i="1" s="1"/>
  <c r="D15" i="15"/>
  <c r="D92" i="15" s="1"/>
  <c r="D15" i="1"/>
  <c r="D92" i="1" s="1"/>
  <c r="D15" i="18"/>
  <c r="D92" i="18" s="1"/>
  <c r="D15" i="16"/>
  <c r="D92" i="16" s="1"/>
  <c r="D15" i="17"/>
  <c r="D92" i="17" s="1"/>
  <c r="D16" i="17"/>
  <c r="D93" i="17" s="1"/>
  <c r="D16" i="18"/>
  <c r="D93" i="18" s="1"/>
  <c r="D16" i="15"/>
  <c r="D93" i="15" s="1"/>
  <c r="D16" i="16"/>
  <c r="D93" i="16" s="1"/>
  <c r="D16" i="1"/>
  <c r="D93" i="1" s="1"/>
  <c r="D18" i="16"/>
  <c r="D95" i="16" s="1"/>
  <c r="D18" i="18"/>
  <c r="D95" i="18" s="1"/>
  <c r="D18" i="17"/>
  <c r="D95" i="17" s="1"/>
  <c r="D18" i="15"/>
  <c r="D95" i="15" s="1"/>
  <c r="D18" i="1"/>
  <c r="D95" i="1" s="1"/>
  <c r="D17" i="16"/>
  <c r="D94" i="16" s="1"/>
  <c r="D17" i="18"/>
  <c r="D94" i="18" s="1"/>
  <c r="D17" i="1"/>
  <c r="D94" i="1" s="1"/>
  <c r="D17" i="17"/>
  <c r="D94" i="17" s="1"/>
  <c r="D17" i="15"/>
  <c r="D94" i="15" s="1"/>
  <c r="D19" i="18"/>
  <c r="D96" i="18" s="1"/>
  <c r="D19" i="15"/>
  <c r="D96" i="15" s="1"/>
  <c r="D19" i="17"/>
  <c r="D96" i="17" s="1"/>
  <c r="D19" i="16"/>
  <c r="D96" i="16" s="1"/>
  <c r="D19" i="1"/>
  <c r="D96" i="1" s="1"/>
  <c r="D8" i="17"/>
  <c r="D85" i="17" s="1"/>
  <c r="D8" i="18"/>
  <c r="D85" i="18" s="1"/>
  <c r="D8" i="16"/>
  <c r="D85" i="16" s="1"/>
  <c r="D8" i="15"/>
  <c r="D85" i="15" s="1"/>
  <c r="D8" i="1"/>
  <c r="D85" i="1" s="1"/>
  <c r="E164" i="16"/>
  <c r="E164" i="18"/>
  <c r="E164" i="1"/>
  <c r="E163" i="16"/>
  <c r="E163" i="18"/>
  <c r="E163" i="1"/>
  <c r="E162" i="16"/>
  <c r="E162" i="18"/>
  <c r="E162" i="1"/>
  <c r="E161" i="16"/>
  <c r="E161" i="18"/>
  <c r="E161" i="1"/>
  <c r="E164" i="17"/>
  <c r="E164" i="15"/>
  <c r="E163" i="17"/>
  <c r="E163" i="15"/>
  <c r="E162" i="17"/>
  <c r="E162" i="15"/>
  <c r="E161" i="17"/>
  <c r="E161" i="15"/>
  <c r="F164" i="16"/>
  <c r="F164" i="18"/>
  <c r="F164" i="1"/>
  <c r="F163" i="16"/>
  <c r="F163" i="18"/>
  <c r="F163" i="1"/>
  <c r="F162" i="16"/>
  <c r="F162" i="18"/>
  <c r="F162" i="1"/>
  <c r="F161" i="16"/>
  <c r="F161" i="18"/>
  <c r="F161" i="1"/>
  <c r="F164" i="17"/>
  <c r="F164" i="15"/>
  <c r="F163" i="17"/>
  <c r="F163" i="15"/>
  <c r="F162" i="17"/>
  <c r="F162" i="15"/>
  <c r="F161" i="17"/>
  <c r="F161" i="15"/>
  <c r="E160" i="15"/>
  <c r="E160" i="17"/>
  <c r="H160" i="1"/>
  <c r="H160" i="18"/>
  <c r="H160" i="16"/>
  <c r="G160" i="15"/>
  <c r="G160" i="17"/>
  <c r="F160" i="1"/>
  <c r="F160" i="18"/>
  <c r="F160" i="16"/>
  <c r="E11" i="5"/>
  <c r="E12" i="5"/>
  <c r="D143" i="5"/>
  <c r="D147" i="5"/>
  <c r="D144" i="5"/>
  <c r="D145" i="5"/>
  <c r="D146" i="5"/>
  <c r="H26" i="16" l="1"/>
  <c r="H103" i="16" s="1"/>
  <c r="H26" i="17"/>
  <c r="H103" i="17" s="1"/>
  <c r="H26" i="18"/>
  <c r="H103" i="18" s="1"/>
  <c r="H26" i="15"/>
  <c r="H103" i="15" s="1"/>
  <c r="H26" i="1"/>
  <c r="H103" i="1" s="1"/>
  <c r="H32" i="1"/>
  <c r="H109" i="1" s="1"/>
  <c r="H32" i="17"/>
  <c r="H109" i="17" s="1"/>
  <c r="H32" i="15"/>
  <c r="H109" i="15" s="1"/>
  <c r="H32" i="16"/>
  <c r="H109" i="16" s="1"/>
  <c r="H32" i="18"/>
  <c r="H109" i="18" s="1"/>
  <c r="H34" i="18"/>
  <c r="H111" i="18" s="1"/>
  <c r="H34" i="16"/>
  <c r="H111" i="16" s="1"/>
  <c r="H34" i="15"/>
  <c r="H111" i="15" s="1"/>
  <c r="H34" i="17"/>
  <c r="H111" i="17" s="1"/>
  <c r="H34" i="1"/>
  <c r="H111" i="1" s="1"/>
  <c r="H30" i="15"/>
  <c r="H107" i="15" s="1"/>
  <c r="H30" i="18"/>
  <c r="H107" i="18" s="1"/>
  <c r="H33" i="15"/>
  <c r="H110" i="15" s="1"/>
  <c r="H30" i="16"/>
  <c r="H107" i="16" s="1"/>
  <c r="H33" i="18"/>
  <c r="H110" i="18" s="1"/>
  <c r="H33" i="16"/>
  <c r="H110" i="16" s="1"/>
  <c r="H31" i="15"/>
  <c r="H108" i="15" s="1"/>
  <c r="H31" i="18"/>
  <c r="H108" i="18" s="1"/>
  <c r="H30" i="17"/>
  <c r="H107" i="17" s="1"/>
  <c r="H31" i="17"/>
  <c r="H108" i="17" s="1"/>
  <c r="H33" i="1"/>
  <c r="H110" i="1" s="1"/>
  <c r="H31" i="1"/>
  <c r="H108" i="1" s="1"/>
  <c r="H31" i="16"/>
  <c r="H108" i="16" s="1"/>
  <c r="H33" i="17"/>
  <c r="H110" i="17" s="1"/>
  <c r="H30" i="1"/>
  <c r="H107" i="1" s="1"/>
  <c r="H23" i="18"/>
  <c r="H100" i="18" s="1"/>
  <c r="H23" i="17"/>
  <c r="H100" i="17" s="1"/>
  <c r="H23" i="15"/>
  <c r="H100" i="15" s="1"/>
  <c r="H23" i="1"/>
  <c r="H100" i="1" s="1"/>
  <c r="H23" i="16"/>
  <c r="H100" i="16" s="1"/>
  <c r="G41" i="16"/>
  <c r="G118" i="16" s="1"/>
  <c r="G41" i="17"/>
  <c r="G118" i="17" s="1"/>
  <c r="G41" i="18"/>
  <c r="G118" i="18" s="1"/>
  <c r="G41" i="15"/>
  <c r="G118" i="15" s="1"/>
  <c r="G41" i="1"/>
  <c r="G118" i="1" s="1"/>
  <c r="G47" i="16"/>
  <c r="G124" i="16" s="1"/>
  <c r="G47" i="18"/>
  <c r="G124" i="18" s="1"/>
  <c r="G47" i="1"/>
  <c r="G124" i="1" s="1"/>
  <c r="G47" i="17"/>
  <c r="G124" i="17" s="1"/>
  <c r="G47" i="15"/>
  <c r="G124" i="15" s="1"/>
  <c r="G49" i="16"/>
  <c r="G126" i="16" s="1"/>
  <c r="G49" i="15"/>
  <c r="G126" i="15" s="1"/>
  <c r="G49" i="18"/>
  <c r="G126" i="18" s="1"/>
  <c r="G49" i="17"/>
  <c r="G126" i="17" s="1"/>
  <c r="G49" i="1"/>
  <c r="G126" i="1" s="1"/>
  <c r="G48" i="15"/>
  <c r="G125" i="15" s="1"/>
  <c r="G48" i="18"/>
  <c r="G125" i="18" s="1"/>
  <c r="G45" i="18"/>
  <c r="G122" i="18" s="1"/>
  <c r="G45" i="15"/>
  <c r="G122" i="15" s="1"/>
  <c r="G48" i="16"/>
  <c r="G125" i="16" s="1"/>
  <c r="G45" i="16"/>
  <c r="G122" i="16" s="1"/>
  <c r="G46" i="15"/>
  <c r="G123" i="15" s="1"/>
  <c r="G48" i="17"/>
  <c r="G125" i="17" s="1"/>
  <c r="G45" i="17"/>
  <c r="G122" i="17" s="1"/>
  <c r="G46" i="18"/>
  <c r="G123" i="18" s="1"/>
  <c r="G48" i="1"/>
  <c r="G125" i="1" s="1"/>
  <c r="G45" i="1"/>
  <c r="G122" i="1" s="1"/>
  <c r="G46" i="17"/>
  <c r="G123" i="17" s="1"/>
  <c r="G46" i="16"/>
  <c r="G123" i="16" s="1"/>
  <c r="G46" i="1"/>
  <c r="G123" i="1" s="1"/>
  <c r="G38" i="16"/>
  <c r="G115" i="16" s="1"/>
  <c r="G38" i="18"/>
  <c r="G115" i="18" s="1"/>
  <c r="G38" i="15"/>
  <c r="G115" i="15" s="1"/>
  <c r="G38" i="1"/>
  <c r="G115" i="1" s="1"/>
  <c r="G38" i="17"/>
  <c r="G115" i="17" s="1"/>
  <c r="F41" i="16"/>
  <c r="F118" i="16" s="1"/>
  <c r="F41" i="17"/>
  <c r="F118" i="17" s="1"/>
  <c r="F41" i="18"/>
  <c r="F118" i="18" s="1"/>
  <c r="F41" i="15"/>
  <c r="F118" i="15" s="1"/>
  <c r="F41" i="1"/>
  <c r="F118" i="1" s="1"/>
  <c r="F49" i="16"/>
  <c r="F126" i="16" s="1"/>
  <c r="F49" i="17"/>
  <c r="F126" i="17" s="1"/>
  <c r="F49" i="15"/>
  <c r="F126" i="15" s="1"/>
  <c r="F49" i="18"/>
  <c r="F126" i="18" s="1"/>
  <c r="F49" i="1"/>
  <c r="F126" i="1" s="1"/>
  <c r="F48" i="16"/>
  <c r="F125" i="16" s="1"/>
  <c r="F48" i="18"/>
  <c r="F125" i="18" s="1"/>
  <c r="F48" i="15"/>
  <c r="F125" i="15" s="1"/>
  <c r="F45" i="16"/>
  <c r="F122" i="16" s="1"/>
  <c r="F45" i="18"/>
  <c r="F122" i="18" s="1"/>
  <c r="F47" i="1"/>
  <c r="F124" i="1" s="1"/>
  <c r="F47" i="17"/>
  <c r="F124" i="17" s="1"/>
  <c r="F47" i="15"/>
  <c r="F124" i="15" s="1"/>
  <c r="F45" i="15"/>
  <c r="F122" i="15" s="1"/>
  <c r="F47" i="16"/>
  <c r="F124" i="16" s="1"/>
  <c r="F47" i="18"/>
  <c r="F124" i="18" s="1"/>
  <c r="F46" i="16"/>
  <c r="F123" i="16" s="1"/>
  <c r="F46" i="15"/>
  <c r="F123" i="15" s="1"/>
  <c r="F45" i="1"/>
  <c r="F122" i="1" s="1"/>
  <c r="F46" i="18"/>
  <c r="F123" i="18" s="1"/>
  <c r="F46" i="1"/>
  <c r="F123" i="1" s="1"/>
  <c r="F48" i="1"/>
  <c r="F125" i="1" s="1"/>
  <c r="F46" i="17"/>
  <c r="F123" i="17" s="1"/>
  <c r="F48" i="17"/>
  <c r="F125" i="17" s="1"/>
  <c r="F45" i="17"/>
  <c r="F122" i="17" s="1"/>
  <c r="F38" i="16"/>
  <c r="F115" i="16" s="1"/>
  <c r="F38" i="1"/>
  <c r="F115" i="1" s="1"/>
  <c r="F38" i="17"/>
  <c r="F115" i="17" s="1"/>
  <c r="F38" i="18"/>
  <c r="F115" i="18" s="1"/>
  <c r="F38" i="15"/>
  <c r="F115" i="15" s="1"/>
  <c r="H41" i="16"/>
  <c r="H118" i="16" s="1"/>
  <c r="H41" i="17"/>
  <c r="H118" i="17" s="1"/>
  <c r="H41" i="18"/>
  <c r="H118" i="18" s="1"/>
  <c r="H41" i="15"/>
  <c r="H118" i="15" s="1"/>
  <c r="H41" i="1"/>
  <c r="H118" i="1" s="1"/>
  <c r="H47" i="1"/>
  <c r="H124" i="1" s="1"/>
  <c r="H47" i="17"/>
  <c r="H124" i="17" s="1"/>
  <c r="H47" i="15"/>
  <c r="H124" i="15" s="1"/>
  <c r="H47" i="16"/>
  <c r="H124" i="16" s="1"/>
  <c r="H47" i="18"/>
  <c r="H124" i="18" s="1"/>
  <c r="H49" i="1"/>
  <c r="H126" i="1" s="1"/>
  <c r="H49" i="17"/>
  <c r="H126" i="17" s="1"/>
  <c r="H49" i="18"/>
  <c r="H126" i="18" s="1"/>
  <c r="H49" i="16"/>
  <c r="H126" i="16" s="1"/>
  <c r="H49" i="15"/>
  <c r="H126" i="15" s="1"/>
  <c r="H45" i="16"/>
  <c r="H122" i="16" s="1"/>
  <c r="H48" i="15"/>
  <c r="H125" i="15" s="1"/>
  <c r="H45" i="15"/>
  <c r="H122" i="15" s="1"/>
  <c r="H45" i="18"/>
  <c r="H122" i="18" s="1"/>
  <c r="H48" i="18"/>
  <c r="H125" i="18" s="1"/>
  <c r="H48" i="16"/>
  <c r="H125" i="16" s="1"/>
  <c r="H46" i="16"/>
  <c r="H123" i="16" s="1"/>
  <c r="H46" i="1"/>
  <c r="H123" i="1" s="1"/>
  <c r="H48" i="1"/>
  <c r="H125" i="1" s="1"/>
  <c r="H46" i="15"/>
  <c r="H123" i="15" s="1"/>
  <c r="H48" i="17"/>
  <c r="H125" i="17" s="1"/>
  <c r="H45" i="17"/>
  <c r="H122" i="17" s="1"/>
  <c r="H46" i="18"/>
  <c r="H123" i="18" s="1"/>
  <c r="H46" i="17"/>
  <c r="H123" i="17" s="1"/>
  <c r="H45" i="1"/>
  <c r="H122" i="1" s="1"/>
  <c r="H38" i="1"/>
  <c r="H115" i="1" s="1"/>
  <c r="H38" i="16"/>
  <c r="H115" i="16" s="1"/>
  <c r="H38" i="17"/>
  <c r="H115" i="17" s="1"/>
  <c r="H38" i="18"/>
  <c r="H115" i="18" s="1"/>
  <c r="H38" i="15"/>
  <c r="H115" i="15" s="1"/>
  <c r="E26" i="16"/>
  <c r="E103" i="16" s="1"/>
  <c r="E26" i="17"/>
  <c r="E103" i="17" s="1"/>
  <c r="E26" i="18"/>
  <c r="E103" i="18" s="1"/>
  <c r="E26" i="15"/>
  <c r="E103" i="15" s="1"/>
  <c r="E26" i="1"/>
  <c r="E103" i="1" s="1"/>
  <c r="E30" i="16"/>
  <c r="E107" i="16" s="1"/>
  <c r="E30" i="18"/>
  <c r="E107" i="18" s="1"/>
  <c r="E30" i="17"/>
  <c r="E107" i="17" s="1"/>
  <c r="E30" i="1"/>
  <c r="E107" i="1" s="1"/>
  <c r="E30" i="15"/>
  <c r="E107" i="15" s="1"/>
  <c r="E31" i="1"/>
  <c r="E108" i="1" s="1"/>
  <c r="E31" i="17"/>
  <c r="E108" i="17" s="1"/>
  <c r="E31" i="16"/>
  <c r="E108" i="16" s="1"/>
  <c r="E31" i="18"/>
  <c r="E108" i="18" s="1"/>
  <c r="E31" i="15"/>
  <c r="E108" i="15" s="1"/>
  <c r="E33" i="17"/>
  <c r="E110" i="17" s="1"/>
  <c r="E33" i="15"/>
  <c r="E110" i="15" s="1"/>
  <c r="E33" i="18"/>
  <c r="E110" i="18" s="1"/>
  <c r="E33" i="16"/>
  <c r="E110" i="16" s="1"/>
  <c r="E33" i="1"/>
  <c r="E110" i="1" s="1"/>
  <c r="E32" i="1"/>
  <c r="E109" i="1" s="1"/>
  <c r="E32" i="17"/>
  <c r="E109" i="17" s="1"/>
  <c r="E32" i="15"/>
  <c r="E109" i="15" s="1"/>
  <c r="E32" i="16"/>
  <c r="E109" i="16" s="1"/>
  <c r="E32" i="18"/>
  <c r="E109" i="18" s="1"/>
  <c r="E34" i="17"/>
  <c r="E111" i="17" s="1"/>
  <c r="E34" i="1"/>
  <c r="E111" i="1" s="1"/>
  <c r="E34" i="16"/>
  <c r="E111" i="16" s="1"/>
  <c r="E34" i="18"/>
  <c r="E111" i="18" s="1"/>
  <c r="E34" i="15"/>
  <c r="E111" i="15" s="1"/>
  <c r="E23" i="17"/>
  <c r="E100" i="17" s="1"/>
  <c r="E23" i="16"/>
  <c r="E100" i="16" s="1"/>
  <c r="E23" i="15"/>
  <c r="E100" i="15" s="1"/>
  <c r="E23" i="18"/>
  <c r="E100" i="18" s="1"/>
  <c r="E23" i="1"/>
  <c r="E100" i="1" s="1"/>
  <c r="D41" i="16"/>
  <c r="D118" i="16" s="1"/>
  <c r="D40" i="16"/>
  <c r="D117" i="16" s="1"/>
  <c r="D39" i="16"/>
  <c r="D116" i="16" s="1"/>
  <c r="D41" i="17"/>
  <c r="D118" i="17" s="1"/>
  <c r="D40" i="17"/>
  <c r="D117" i="17" s="1"/>
  <c r="D39" i="17"/>
  <c r="D116" i="17" s="1"/>
  <c r="D44" i="16"/>
  <c r="D121" i="16" s="1"/>
  <c r="D44" i="17"/>
  <c r="D121" i="17" s="1"/>
  <c r="D44" i="18"/>
  <c r="D121" i="18" s="1"/>
  <c r="D41" i="18"/>
  <c r="D118" i="18" s="1"/>
  <c r="D40" i="18"/>
  <c r="D117" i="18" s="1"/>
  <c r="D39" i="18"/>
  <c r="D116" i="18" s="1"/>
  <c r="D41" i="15"/>
  <c r="D118" i="15" s="1"/>
  <c r="D40" i="15"/>
  <c r="D117" i="15" s="1"/>
  <c r="D39" i="15"/>
  <c r="D116" i="15" s="1"/>
  <c r="D41" i="1"/>
  <c r="D118" i="1" s="1"/>
  <c r="D40" i="1"/>
  <c r="D117" i="1" s="1"/>
  <c r="D39" i="1"/>
  <c r="D116" i="1" s="1"/>
  <c r="D44" i="15"/>
  <c r="D121" i="15" s="1"/>
  <c r="D44" i="1"/>
  <c r="D121" i="1" s="1"/>
  <c r="D45" i="15"/>
  <c r="D122" i="15" s="1"/>
  <c r="D45" i="1"/>
  <c r="D122" i="1" s="1"/>
  <c r="D45" i="18"/>
  <c r="D122" i="18" s="1"/>
  <c r="D45" i="16"/>
  <c r="D122" i="16" s="1"/>
  <c r="D45" i="17"/>
  <c r="D122" i="17" s="1"/>
  <c r="D46" i="16"/>
  <c r="D123" i="16" s="1"/>
  <c r="D46" i="17"/>
  <c r="D123" i="17" s="1"/>
  <c r="D46" i="1"/>
  <c r="D123" i="1" s="1"/>
  <c r="D46" i="18"/>
  <c r="D123" i="18" s="1"/>
  <c r="D46" i="15"/>
  <c r="D123" i="15" s="1"/>
  <c r="D48" i="16"/>
  <c r="D125" i="16" s="1"/>
  <c r="D48" i="15"/>
  <c r="D125" i="15" s="1"/>
  <c r="D48" i="18"/>
  <c r="D125" i="18" s="1"/>
  <c r="D48" i="17"/>
  <c r="D125" i="17" s="1"/>
  <c r="D48" i="1"/>
  <c r="D125" i="1" s="1"/>
  <c r="D47" i="1"/>
  <c r="D124" i="1" s="1"/>
  <c r="D47" i="17"/>
  <c r="D124" i="17" s="1"/>
  <c r="D47" i="15"/>
  <c r="D124" i="15" s="1"/>
  <c r="D47" i="16"/>
  <c r="D124" i="16" s="1"/>
  <c r="D47" i="18"/>
  <c r="D124" i="18" s="1"/>
  <c r="D49" i="1"/>
  <c r="D126" i="1" s="1"/>
  <c r="D49" i="16"/>
  <c r="D126" i="16" s="1"/>
  <c r="D49" i="18"/>
  <c r="D126" i="18" s="1"/>
  <c r="D49" i="17"/>
  <c r="D126" i="17" s="1"/>
  <c r="D49" i="15"/>
  <c r="D126" i="15" s="1"/>
  <c r="D38" i="16"/>
  <c r="D115" i="16" s="1"/>
  <c r="D38" i="18"/>
  <c r="D115" i="18" s="1"/>
  <c r="D38" i="15"/>
  <c r="D115" i="15" s="1"/>
  <c r="D38" i="17"/>
  <c r="D115" i="17" s="1"/>
  <c r="D38" i="1"/>
  <c r="D115" i="1" s="1"/>
  <c r="F26" i="16"/>
  <c r="F103" i="16" s="1"/>
  <c r="F26" i="17"/>
  <c r="F103" i="17" s="1"/>
  <c r="F26" i="18"/>
  <c r="F103" i="18" s="1"/>
  <c r="F26" i="15"/>
  <c r="F103" i="15" s="1"/>
  <c r="F26" i="1"/>
  <c r="F103" i="1" s="1"/>
  <c r="F34" i="18"/>
  <c r="F111" i="18" s="1"/>
  <c r="F34" i="1"/>
  <c r="F111" i="1" s="1"/>
  <c r="F34" i="16"/>
  <c r="F111" i="16" s="1"/>
  <c r="F34" i="15"/>
  <c r="F111" i="15" s="1"/>
  <c r="F34" i="17"/>
  <c r="F111" i="17" s="1"/>
  <c r="F30" i="16"/>
  <c r="F107" i="16" s="1"/>
  <c r="F33" i="15"/>
  <c r="F110" i="15" s="1"/>
  <c r="F30" i="15"/>
  <c r="F107" i="15" s="1"/>
  <c r="F32" i="1"/>
  <c r="F109" i="1" s="1"/>
  <c r="F32" i="17"/>
  <c r="F109" i="17" s="1"/>
  <c r="F32" i="15"/>
  <c r="F109" i="15" s="1"/>
  <c r="F33" i="16"/>
  <c r="F110" i="16" s="1"/>
  <c r="F30" i="18"/>
  <c r="F107" i="18" s="1"/>
  <c r="F33" i="18"/>
  <c r="F110" i="18" s="1"/>
  <c r="F32" i="16"/>
  <c r="F109" i="16" s="1"/>
  <c r="F32" i="18"/>
  <c r="F109" i="18" s="1"/>
  <c r="F30" i="17"/>
  <c r="F107" i="17" s="1"/>
  <c r="F33" i="17"/>
  <c r="F110" i="17" s="1"/>
  <c r="F31" i="18"/>
  <c r="F108" i="18" s="1"/>
  <c r="F31" i="17"/>
  <c r="F108" i="17" s="1"/>
  <c r="F30" i="1"/>
  <c r="F107" i="1" s="1"/>
  <c r="F31" i="1"/>
  <c r="F108" i="1" s="1"/>
  <c r="F33" i="1"/>
  <c r="F110" i="1" s="1"/>
  <c r="F31" i="16"/>
  <c r="F108" i="16" s="1"/>
  <c r="F31" i="15"/>
  <c r="F108" i="15" s="1"/>
  <c r="F23" i="17"/>
  <c r="F100" i="17" s="1"/>
  <c r="F23" i="16"/>
  <c r="F100" i="16" s="1"/>
  <c r="F23" i="1"/>
  <c r="F100" i="1" s="1"/>
  <c r="F23" i="15"/>
  <c r="F100" i="15" s="1"/>
  <c r="F23" i="18"/>
  <c r="F100" i="18" s="1"/>
  <c r="G26" i="16"/>
  <c r="G103" i="16" s="1"/>
  <c r="G26" i="17"/>
  <c r="G103" i="17" s="1"/>
  <c r="G26" i="18"/>
  <c r="G103" i="18" s="1"/>
  <c r="G26" i="15"/>
  <c r="G103" i="15" s="1"/>
  <c r="G26" i="1"/>
  <c r="G103" i="1" s="1"/>
  <c r="G32" i="1"/>
  <c r="G109" i="1" s="1"/>
  <c r="G32" i="17"/>
  <c r="G109" i="17" s="1"/>
  <c r="G32" i="15"/>
  <c r="G109" i="15" s="1"/>
  <c r="G32" i="16"/>
  <c r="G109" i="16" s="1"/>
  <c r="G32" i="18"/>
  <c r="G109" i="18" s="1"/>
  <c r="G34" i="16"/>
  <c r="G111" i="16" s="1"/>
  <c r="G34" i="15"/>
  <c r="G111" i="15" s="1"/>
  <c r="G34" i="1"/>
  <c r="G111" i="1" s="1"/>
  <c r="G34" i="18"/>
  <c r="G111" i="18" s="1"/>
  <c r="G34" i="17"/>
  <c r="G111" i="17" s="1"/>
  <c r="G33" i="16"/>
  <c r="G110" i="16" s="1"/>
  <c r="G30" i="16"/>
  <c r="G107" i="16" s="1"/>
  <c r="G33" i="18"/>
  <c r="G110" i="18" s="1"/>
  <c r="G30" i="18"/>
  <c r="G107" i="18" s="1"/>
  <c r="G33" i="15"/>
  <c r="G110" i="15" s="1"/>
  <c r="G30" i="15"/>
  <c r="G107" i="15" s="1"/>
  <c r="G31" i="1"/>
  <c r="G108" i="1" s="1"/>
  <c r="G31" i="18"/>
  <c r="G108" i="18" s="1"/>
  <c r="G33" i="17"/>
  <c r="G110" i="17" s="1"/>
  <c r="G30" i="17"/>
  <c r="G107" i="17" s="1"/>
  <c r="G33" i="1"/>
  <c r="G110" i="1" s="1"/>
  <c r="G30" i="1"/>
  <c r="G107" i="1" s="1"/>
  <c r="G31" i="15"/>
  <c r="G108" i="15" s="1"/>
  <c r="G31" i="17"/>
  <c r="G108" i="17" s="1"/>
  <c r="G31" i="16"/>
  <c r="G108" i="16" s="1"/>
  <c r="G47" i="2" s="1"/>
  <c r="G23" i="17"/>
  <c r="G100" i="17" s="1"/>
  <c r="G23" i="18"/>
  <c r="G100" i="18" s="1"/>
  <c r="G23" i="16"/>
  <c r="G100" i="16" s="1"/>
  <c r="G23" i="15"/>
  <c r="G100" i="15" s="1"/>
  <c r="G24" i="2" s="1"/>
  <c r="G23" i="1"/>
  <c r="G100" i="1" s="1"/>
  <c r="E41" i="16"/>
  <c r="E118" i="16" s="1"/>
  <c r="E41" i="17"/>
  <c r="E118" i="17" s="1"/>
  <c r="E41" i="18"/>
  <c r="E118" i="18" s="1"/>
  <c r="E41" i="15"/>
  <c r="E118" i="15" s="1"/>
  <c r="E41" i="1"/>
  <c r="E118" i="1" s="1"/>
  <c r="E45" i="16"/>
  <c r="E122" i="16" s="1"/>
  <c r="E45" i="18"/>
  <c r="E122" i="18" s="1"/>
  <c r="E45" i="17"/>
  <c r="E122" i="17" s="1"/>
  <c r="E45" i="15"/>
  <c r="E122" i="15" s="1"/>
  <c r="E45" i="1"/>
  <c r="E122" i="1" s="1"/>
  <c r="E46" i="15"/>
  <c r="E123" i="15" s="1"/>
  <c r="E46" i="17"/>
  <c r="E123" i="17" s="1"/>
  <c r="E46" i="1"/>
  <c r="E123" i="1" s="1"/>
  <c r="E46" i="18"/>
  <c r="E123" i="18" s="1"/>
  <c r="E46" i="16"/>
  <c r="E123" i="16" s="1"/>
  <c r="E48" i="17"/>
  <c r="E125" i="17" s="1"/>
  <c r="E48" i="16"/>
  <c r="E125" i="16" s="1"/>
  <c r="E48" i="15"/>
  <c r="E125" i="15" s="1"/>
  <c r="E48" i="1"/>
  <c r="E125" i="1" s="1"/>
  <c r="E48" i="18"/>
  <c r="E125" i="18" s="1"/>
  <c r="E47" i="16"/>
  <c r="E124" i="16" s="1"/>
  <c r="E47" i="18"/>
  <c r="E124" i="18" s="1"/>
  <c r="E47" i="1"/>
  <c r="E124" i="1" s="1"/>
  <c r="E47" i="17"/>
  <c r="E124" i="17" s="1"/>
  <c r="E47" i="15"/>
  <c r="E124" i="15" s="1"/>
  <c r="E49" i="17"/>
  <c r="E126" i="17" s="1"/>
  <c r="E49" i="16"/>
  <c r="E126" i="16" s="1"/>
  <c r="E49" i="18"/>
  <c r="E126" i="18" s="1"/>
  <c r="E49" i="1"/>
  <c r="E126" i="1" s="1"/>
  <c r="E49" i="15"/>
  <c r="E126" i="15" s="1"/>
  <c r="E38" i="17"/>
  <c r="E115" i="17" s="1"/>
  <c r="E38" i="16"/>
  <c r="E115" i="16" s="1"/>
  <c r="E38" i="18"/>
  <c r="E115" i="18" s="1"/>
  <c r="E38" i="15"/>
  <c r="E115" i="15" s="1"/>
  <c r="E38" i="1"/>
  <c r="E115" i="1" s="1"/>
  <c r="D26" i="16"/>
  <c r="D103" i="16" s="1"/>
  <c r="D25" i="16"/>
  <c r="D102" i="16" s="1"/>
  <c r="D24" i="16"/>
  <c r="D101" i="16" s="1"/>
  <c r="D29" i="16"/>
  <c r="D106" i="16" s="1"/>
  <c r="D29" i="17"/>
  <c r="D106" i="17" s="1"/>
  <c r="D29" i="18"/>
  <c r="D106" i="18" s="1"/>
  <c r="D26" i="17"/>
  <c r="D103" i="17" s="1"/>
  <c r="D25" i="17"/>
  <c r="D102" i="17" s="1"/>
  <c r="D24" i="17"/>
  <c r="D101" i="17" s="1"/>
  <c r="D26" i="18"/>
  <c r="D103" i="18" s="1"/>
  <c r="D25" i="18"/>
  <c r="D102" i="18" s="1"/>
  <c r="D24" i="18"/>
  <c r="D101" i="18" s="1"/>
  <c r="D26" i="15"/>
  <c r="D103" i="15" s="1"/>
  <c r="D25" i="15"/>
  <c r="D102" i="15" s="1"/>
  <c r="D24" i="15"/>
  <c r="D101" i="15" s="1"/>
  <c r="D26" i="1"/>
  <c r="D103" i="1" s="1"/>
  <c r="D25" i="1"/>
  <c r="D102" i="1" s="1"/>
  <c r="D24" i="1"/>
  <c r="D101" i="1" s="1"/>
  <c r="D29" i="15"/>
  <c r="D106" i="15" s="1"/>
  <c r="D29" i="1"/>
  <c r="D106" i="1" s="1"/>
  <c r="D30" i="15"/>
  <c r="D107" i="15" s="1"/>
  <c r="D30" i="18"/>
  <c r="D107" i="18" s="1"/>
  <c r="D30" i="16"/>
  <c r="D107" i="16" s="1"/>
  <c r="D30" i="17"/>
  <c r="D107" i="17" s="1"/>
  <c r="D30" i="1"/>
  <c r="D107" i="1" s="1"/>
  <c r="D31" i="15"/>
  <c r="D108" i="15" s="1"/>
  <c r="D31" i="1"/>
  <c r="D108" i="1" s="1"/>
  <c r="D31" i="16"/>
  <c r="D108" i="16" s="1"/>
  <c r="D31" i="17"/>
  <c r="D108" i="17" s="1"/>
  <c r="D31" i="18"/>
  <c r="D108" i="18" s="1"/>
  <c r="D33" i="17"/>
  <c r="D110" i="17" s="1"/>
  <c r="D33" i="15"/>
  <c r="D110" i="15" s="1"/>
  <c r="D33" i="16"/>
  <c r="D110" i="16" s="1"/>
  <c r="D33" i="1"/>
  <c r="D110" i="1" s="1"/>
  <c r="D33" i="18"/>
  <c r="D110" i="18" s="1"/>
  <c r="D32" i="16"/>
  <c r="D109" i="16" s="1"/>
  <c r="D32" i="18"/>
  <c r="D109" i="18" s="1"/>
  <c r="D32" i="1"/>
  <c r="D109" i="1" s="1"/>
  <c r="D32" i="17"/>
  <c r="D109" i="17" s="1"/>
  <c r="D32" i="15"/>
  <c r="D109" i="15" s="1"/>
  <c r="D34" i="16"/>
  <c r="D111" i="16" s="1"/>
  <c r="D34" i="15"/>
  <c r="D111" i="15" s="1"/>
  <c r="D34" i="1"/>
  <c r="D111" i="1" s="1"/>
  <c r="D34" i="18"/>
  <c r="D111" i="18" s="1"/>
  <c r="D34" i="17"/>
  <c r="D111" i="17" s="1"/>
  <c r="D23" i="15"/>
  <c r="D100" i="15" s="1"/>
  <c r="D23" i="16"/>
  <c r="D100" i="16" s="1"/>
  <c r="D23" i="18"/>
  <c r="D100" i="18" s="1"/>
  <c r="D23" i="17"/>
  <c r="D100" i="17" s="1"/>
  <c r="D23" i="1"/>
  <c r="D100" i="1" s="1"/>
  <c r="D12" i="15"/>
  <c r="D12" i="17"/>
  <c r="D12" i="18"/>
  <c r="D12" i="16"/>
  <c r="D12" i="1"/>
  <c r="D150" i="5"/>
  <c r="D158" i="5"/>
  <c r="D149" i="5"/>
  <c r="D159" i="5"/>
  <c r="D152" i="5"/>
  <c r="D156" i="5"/>
  <c r="D155" i="5"/>
  <c r="D151" i="5"/>
  <c r="D157" i="5"/>
  <c r="D153" i="5"/>
  <c r="G12" i="2" l="1"/>
  <c r="F12" i="2"/>
  <c r="E12" i="2"/>
  <c r="H12" i="2"/>
  <c r="G65" i="2"/>
  <c r="G61" i="2"/>
  <c r="G72" i="2"/>
  <c r="G42" i="2"/>
  <c r="G9" i="2"/>
  <c r="G39" i="2"/>
  <c r="G54" i="2"/>
  <c r="G62" i="2"/>
  <c r="G16" i="2"/>
  <c r="G77" i="2"/>
  <c r="G31" i="2"/>
  <c r="G76" i="2"/>
  <c r="G46" i="2"/>
  <c r="G20" i="2"/>
  <c r="G50" i="2"/>
  <c r="G48" i="2"/>
  <c r="G63" i="2"/>
  <c r="F27" i="2"/>
  <c r="F57" i="2"/>
  <c r="E27" i="2"/>
  <c r="E57" i="2"/>
  <c r="H72" i="2"/>
  <c r="H42" i="2"/>
  <c r="G27" i="2"/>
  <c r="G57" i="2"/>
  <c r="F72" i="2"/>
  <c r="F42" i="2"/>
  <c r="E72" i="2"/>
  <c r="E42" i="2"/>
  <c r="H27" i="2"/>
  <c r="H57" i="2"/>
  <c r="G69" i="2"/>
  <c r="G32" i="2"/>
  <c r="G19" i="2"/>
  <c r="G64" i="2"/>
  <c r="G17" i="2"/>
  <c r="G34" i="2"/>
  <c r="G79" i="2"/>
  <c r="G49" i="2"/>
  <c r="G80" i="2"/>
  <c r="G35" i="2"/>
  <c r="G78" i="2"/>
  <c r="G33" i="2"/>
  <c r="G18" i="2"/>
  <c r="F69" i="2"/>
  <c r="F9" i="2"/>
  <c r="F54" i="2"/>
  <c r="F47" i="2"/>
  <c r="F17" i="2"/>
  <c r="F62" i="2"/>
  <c r="F64" i="2"/>
  <c r="F78" i="2"/>
  <c r="F79" i="2"/>
  <c r="F49" i="2"/>
  <c r="F63" i="2"/>
  <c r="F31" i="2"/>
  <c r="F46" i="2"/>
  <c r="F35" i="2"/>
  <c r="F20" i="2"/>
  <c r="E9" i="2"/>
  <c r="E24" i="2"/>
  <c r="E54" i="2"/>
  <c r="E80" i="2"/>
  <c r="E20" i="2"/>
  <c r="E78" i="2"/>
  <c r="E33" i="2"/>
  <c r="E18" i="2"/>
  <c r="E49" i="2"/>
  <c r="E34" i="2"/>
  <c r="E32" i="2"/>
  <c r="E47" i="2"/>
  <c r="E17" i="2"/>
  <c r="E16" i="2"/>
  <c r="E76" i="2"/>
  <c r="H9" i="2"/>
  <c r="H54" i="2"/>
  <c r="H16" i="2"/>
  <c r="H47" i="2"/>
  <c r="H19" i="2"/>
  <c r="H61" i="2"/>
  <c r="H32" i="2"/>
  <c r="H79" i="2"/>
  <c r="H34" i="2"/>
  <c r="H31" i="2"/>
  <c r="H65" i="2"/>
  <c r="H50" i="2"/>
  <c r="H78" i="2"/>
  <c r="H33" i="2"/>
  <c r="H18" i="2"/>
  <c r="F24" i="2"/>
  <c r="F39" i="2"/>
  <c r="F32" i="2"/>
  <c r="F19" i="2"/>
  <c r="F16" i="2"/>
  <c r="F77" i="2"/>
  <c r="F61" i="2"/>
  <c r="F48" i="2"/>
  <c r="F76" i="2"/>
  <c r="F33" i="2"/>
  <c r="F18" i="2"/>
  <c r="F34" i="2"/>
  <c r="F65" i="2"/>
  <c r="F50" i="2"/>
  <c r="F80" i="2"/>
  <c r="E69" i="2"/>
  <c r="E39" i="2"/>
  <c r="E35" i="2"/>
  <c r="E50" i="2"/>
  <c r="E65" i="2"/>
  <c r="E48" i="2"/>
  <c r="E63" i="2"/>
  <c r="E19" i="2"/>
  <c r="E79" i="2"/>
  <c r="E64" i="2"/>
  <c r="E77" i="2"/>
  <c r="E62" i="2"/>
  <c r="E31" i="2"/>
  <c r="E61" i="2"/>
  <c r="E46" i="2"/>
  <c r="H39" i="2"/>
  <c r="H24" i="2"/>
  <c r="H69" i="2"/>
  <c r="H64" i="2"/>
  <c r="H17" i="2"/>
  <c r="H62" i="2"/>
  <c r="H77" i="2"/>
  <c r="H49" i="2"/>
  <c r="H46" i="2"/>
  <c r="H76" i="2"/>
  <c r="H20" i="2"/>
  <c r="H35" i="2"/>
  <c r="H80" i="2"/>
  <c r="H48" i="2"/>
  <c r="H63" i="2"/>
  <c r="D27" i="18"/>
  <c r="D42" i="17"/>
  <c r="D42" i="18"/>
  <c r="D27" i="16"/>
  <c r="D27" i="17"/>
  <c r="D27" i="15"/>
  <c r="D42" i="15"/>
  <c r="D42" i="16"/>
  <c r="D89" i="16"/>
  <c r="D20" i="16"/>
  <c r="D89" i="17"/>
  <c r="D20" i="17"/>
  <c r="D89" i="18"/>
  <c r="D20" i="18"/>
  <c r="D89" i="15"/>
  <c r="D20" i="15"/>
  <c r="D42" i="1"/>
  <c r="D27" i="1"/>
  <c r="D89" i="1"/>
  <c r="D20" i="1"/>
  <c r="D163" i="5"/>
  <c r="D165" i="5"/>
  <c r="D161" i="5"/>
  <c r="D164" i="5"/>
  <c r="D162" i="5"/>
  <c r="D97" i="1" l="1"/>
  <c r="D97" i="15"/>
  <c r="D97" i="18"/>
  <c r="D97" i="17"/>
  <c r="D97" i="16"/>
  <c r="D119" i="15"/>
  <c r="D127" i="15" s="1"/>
  <c r="D50" i="15"/>
  <c r="D104" i="15"/>
  <c r="D112" i="15" s="1"/>
  <c r="D35" i="15"/>
  <c r="D104" i="16"/>
  <c r="D112" i="16" s="1"/>
  <c r="D35" i="16"/>
  <c r="D104" i="18"/>
  <c r="D112" i="18" s="1"/>
  <c r="D35" i="18"/>
  <c r="D119" i="16"/>
  <c r="D127" i="16" s="1"/>
  <c r="D50" i="16"/>
  <c r="D104" i="17"/>
  <c r="D112" i="17" s="1"/>
  <c r="D35" i="17"/>
  <c r="D119" i="18"/>
  <c r="D127" i="18" s="1"/>
  <c r="D50" i="18"/>
  <c r="D119" i="17"/>
  <c r="D127" i="17" s="1"/>
  <c r="D50" i="17"/>
  <c r="D119" i="1"/>
  <c r="D127" i="1" s="1"/>
  <c r="D50" i="1"/>
  <c r="D104" i="1"/>
  <c r="D112" i="1" s="1"/>
  <c r="D35" i="1"/>
  <c r="D171" i="5"/>
  <c r="D168" i="5"/>
  <c r="D169" i="5"/>
  <c r="D167" i="5"/>
  <c r="D170" i="5"/>
  <c r="E396" i="5" l="1"/>
  <c r="E406" i="5" s="1"/>
  <c r="E416" i="5" s="1"/>
  <c r="F396" i="5"/>
  <c r="G396" i="5"/>
  <c r="H396" i="5"/>
  <c r="H406" i="5" s="1"/>
  <c r="E397" i="5"/>
  <c r="G406" i="5" l="1"/>
  <c r="D407" i="5"/>
  <c r="D417" i="5" s="1"/>
  <c r="F397" i="5"/>
  <c r="F406" i="5"/>
  <c r="G397" i="5" l="1"/>
  <c r="E407" i="5"/>
  <c r="G391" i="5" l="1"/>
  <c r="G393" i="5"/>
  <c r="G394" i="5"/>
  <c r="G390" i="5"/>
  <c r="G392" i="5"/>
  <c r="G407" i="5"/>
  <c r="H397" i="5"/>
  <c r="H407" i="5" s="1"/>
  <c r="F407" i="5"/>
  <c r="F12" i="5"/>
  <c r="G404" i="5" l="1"/>
  <c r="H404" i="5" s="1"/>
  <c r="G400" i="5"/>
  <c r="H400" i="5" s="1"/>
  <c r="G401" i="5"/>
  <c r="H401" i="5" s="1"/>
  <c r="G402" i="5"/>
  <c r="H402" i="5" s="1"/>
  <c r="G403" i="5"/>
  <c r="H403" i="5" s="1"/>
  <c r="H390" i="5"/>
  <c r="H393" i="5"/>
  <c r="H392" i="5"/>
  <c r="H394" i="5"/>
  <c r="H391" i="5"/>
  <c r="F11" i="5"/>
  <c r="G12" i="5"/>
  <c r="F417" i="5"/>
  <c r="G417" i="5" s="1"/>
  <c r="H417" i="5" s="1"/>
  <c r="E417" i="5" s="1"/>
  <c r="F416" i="5" s="1"/>
  <c r="H12" i="5" l="1"/>
  <c r="G11" i="5"/>
  <c r="H11" i="5"/>
  <c r="F23" i="5" l="1"/>
  <c r="F24" i="5"/>
  <c r="G416" i="5" l="1"/>
  <c r="G413" i="5" l="1"/>
  <c r="G411" i="5"/>
  <c r="G414" i="5"/>
  <c r="G412" i="5"/>
  <c r="G410" i="5"/>
  <c r="G24" i="5" l="1"/>
  <c r="G23" i="5"/>
  <c r="H416" i="5" l="1"/>
  <c r="H412" i="5" l="1"/>
  <c r="H413" i="5"/>
  <c r="H411" i="5"/>
  <c r="H414" i="5"/>
  <c r="H410" i="5"/>
  <c r="H23" i="5"/>
  <c r="H24" i="5"/>
  <c r="F427" i="5" l="1"/>
  <c r="G427" i="5" l="1"/>
  <c r="H427" i="5" l="1"/>
  <c r="F436" i="5" s="1"/>
  <c r="G425" i="5"/>
  <c r="G423" i="5"/>
  <c r="H423" i="5" s="1"/>
  <c r="G421" i="5"/>
  <c r="G424" i="5"/>
  <c r="H424" i="5" s="1"/>
  <c r="G422" i="5"/>
  <c r="G436" i="5"/>
  <c r="H422" i="5" l="1"/>
  <c r="H421" i="5"/>
  <c r="H436" i="5"/>
  <c r="F445" i="5" s="1"/>
  <c r="G430" i="5"/>
  <c r="G431" i="5"/>
  <c r="H431" i="5" s="1"/>
  <c r="G432" i="5"/>
  <c r="G434" i="5"/>
  <c r="H434" i="5" s="1"/>
  <c r="G433" i="5"/>
  <c r="H425" i="5"/>
  <c r="G445" i="5"/>
  <c r="H433" i="5" l="1"/>
  <c r="H445" i="5"/>
  <c r="G442" i="5"/>
  <c r="H442" i="5" s="1"/>
  <c r="G440" i="5"/>
  <c r="H440" i="5" s="1"/>
  <c r="G443" i="5"/>
  <c r="H443" i="5" s="1"/>
  <c r="G441" i="5"/>
  <c r="H441" i="5" s="1"/>
  <c r="G439" i="5"/>
  <c r="H439" i="5" s="1"/>
  <c r="H432" i="5"/>
  <c r="H430" i="5"/>
  <c r="E445" i="5" l="1"/>
  <c r="E436" i="5" s="1"/>
  <c r="E427" i="5" s="1"/>
  <c r="F484" i="5" l="1"/>
  <c r="F76" i="5" l="1"/>
  <c r="F75" i="5"/>
  <c r="F74" i="5"/>
  <c r="F73" i="5"/>
  <c r="F79" i="5"/>
  <c r="F80" i="5"/>
  <c r="F81" i="5"/>
  <c r="F78" i="5"/>
  <c r="F85" i="5"/>
  <c r="F86" i="5"/>
  <c r="F84" i="5"/>
  <c r="F83" i="5"/>
  <c r="H484" i="5"/>
  <c r="G484" i="5"/>
  <c r="E15" i="5" l="1"/>
  <c r="E20" i="5"/>
  <c r="E22" i="5"/>
  <c r="E80" i="5"/>
  <c r="E81" i="5"/>
  <c r="E79" i="5"/>
  <c r="E78" i="5"/>
  <c r="E86" i="5"/>
  <c r="E83" i="5"/>
  <c r="E84" i="5"/>
  <c r="E85" i="5"/>
  <c r="G84" i="5"/>
  <c r="G83" i="5"/>
  <c r="G86" i="5"/>
  <c r="G85" i="5"/>
  <c r="G80" i="5"/>
  <c r="G81" i="5"/>
  <c r="G78" i="5"/>
  <c r="G79" i="5"/>
  <c r="G74" i="5"/>
  <c r="G73" i="5"/>
  <c r="G75" i="5"/>
  <c r="G76" i="5"/>
  <c r="E10" i="5"/>
  <c r="E17" i="5"/>
  <c r="E8" i="5"/>
  <c r="E9" i="5"/>
  <c r="E14" i="5"/>
  <c r="E16" i="5"/>
  <c r="E18" i="5"/>
  <c r="E21" i="5"/>
  <c r="E484" i="5"/>
  <c r="H85" i="5"/>
  <c r="H86" i="5"/>
  <c r="H83" i="5"/>
  <c r="H84" i="5"/>
  <c r="H81" i="5"/>
  <c r="H79" i="5"/>
  <c r="H80" i="5"/>
  <c r="H78" i="5"/>
  <c r="H74" i="5"/>
  <c r="H73" i="5"/>
  <c r="H76" i="5"/>
  <c r="H75" i="5"/>
  <c r="G10" i="5" l="1"/>
  <c r="F10" i="5"/>
  <c r="E65" i="5"/>
  <c r="E67" i="5"/>
  <c r="E42" i="5" s="1"/>
  <c r="E69" i="5"/>
  <c r="E44" i="5" s="1"/>
  <c r="F21" i="5"/>
  <c r="F18" i="5"/>
  <c r="F16" i="5"/>
  <c r="F14" i="5"/>
  <c r="F9" i="5"/>
  <c r="F8" i="5"/>
  <c r="F17" i="5"/>
  <c r="F22" i="5"/>
  <c r="F20" i="5"/>
  <c r="F15" i="5"/>
  <c r="E53" i="5"/>
  <c r="E66" i="5"/>
  <c r="E41" i="5" s="1"/>
  <c r="E68" i="5"/>
  <c r="E43" i="5" s="1"/>
  <c r="E75" i="5"/>
  <c r="E74" i="5"/>
  <c r="E73" i="5"/>
  <c r="E76" i="5"/>
  <c r="E24" i="17"/>
  <c r="E24" i="16"/>
  <c r="E24" i="1"/>
  <c r="E24" i="15"/>
  <c r="E24" i="18"/>
  <c r="E39" i="18"/>
  <c r="E39" i="17"/>
  <c r="E39" i="16"/>
  <c r="E39" i="1"/>
  <c r="E39" i="15"/>
  <c r="H10" i="5" l="1"/>
  <c r="E9" i="1"/>
  <c r="E9" i="15"/>
  <c r="E9" i="18"/>
  <c r="E86" i="18" s="1"/>
  <c r="E9" i="16"/>
  <c r="E9" i="17"/>
  <c r="E116" i="1"/>
  <c r="E116" i="17"/>
  <c r="E86" i="15"/>
  <c r="E86" i="1"/>
  <c r="E86" i="16"/>
  <c r="E101" i="18"/>
  <c r="E101" i="1"/>
  <c r="E101" i="17"/>
  <c r="E28" i="5"/>
  <c r="G15" i="5"/>
  <c r="H15" i="5"/>
  <c r="G20" i="5"/>
  <c r="H20" i="5"/>
  <c r="G22" i="5"/>
  <c r="H22" i="5"/>
  <c r="H17" i="5"/>
  <c r="G17" i="5"/>
  <c r="F9" i="1"/>
  <c r="F9" i="17"/>
  <c r="F9" i="15"/>
  <c r="F9" i="16"/>
  <c r="F9" i="18"/>
  <c r="H14" i="5"/>
  <c r="G14" i="5"/>
  <c r="H18" i="5"/>
  <c r="G18" i="5"/>
  <c r="G21" i="5"/>
  <c r="H21" i="5"/>
  <c r="E44" i="17"/>
  <c r="E121" i="17" s="1"/>
  <c r="E44" i="18"/>
  <c r="E121" i="18" s="1"/>
  <c r="E44" i="15"/>
  <c r="E121" i="15" s="1"/>
  <c r="E44" i="1"/>
  <c r="E121" i="1" s="1"/>
  <c r="E44" i="16"/>
  <c r="E121" i="16" s="1"/>
  <c r="E40" i="5"/>
  <c r="E116" i="15"/>
  <c r="E116" i="16"/>
  <c r="E116" i="18"/>
  <c r="E86" i="17"/>
  <c r="E101" i="15"/>
  <c r="E101" i="16"/>
  <c r="F68" i="5"/>
  <c r="F43" i="5" s="1"/>
  <c r="F66" i="5"/>
  <c r="F41" i="5" s="1"/>
  <c r="F53" i="5"/>
  <c r="F39" i="16"/>
  <c r="F39" i="18"/>
  <c r="F39" i="17"/>
  <c r="F39" i="15"/>
  <c r="F39" i="1"/>
  <c r="G8" i="5"/>
  <c r="H8" i="5"/>
  <c r="H9" i="5"/>
  <c r="G9" i="5"/>
  <c r="F24" i="16"/>
  <c r="F24" i="18"/>
  <c r="F24" i="1"/>
  <c r="F24" i="17"/>
  <c r="F24" i="15"/>
  <c r="G16" i="5"/>
  <c r="H16" i="5"/>
  <c r="F69" i="5"/>
  <c r="F44" i="5" s="1"/>
  <c r="F67" i="5"/>
  <c r="F42" i="5" s="1"/>
  <c r="F65" i="5"/>
  <c r="G47" i="5"/>
  <c r="H47" i="5"/>
  <c r="G48" i="5"/>
  <c r="H48" i="5"/>
  <c r="G49" i="5"/>
  <c r="H49" i="5"/>
  <c r="F49" i="5"/>
  <c r="F48" i="5"/>
  <c r="F47" i="5"/>
  <c r="H65" i="5" l="1"/>
  <c r="G65" i="5"/>
  <c r="H67" i="5"/>
  <c r="H42" i="5" s="1"/>
  <c r="G67" i="5"/>
  <c r="G42" i="5" s="1"/>
  <c r="H69" i="5"/>
  <c r="H44" i="5" s="1"/>
  <c r="G69" i="5"/>
  <c r="G44" i="5" s="1"/>
  <c r="F101" i="17"/>
  <c r="F101" i="18"/>
  <c r="G9" i="16"/>
  <c r="G9" i="18"/>
  <c r="G9" i="17"/>
  <c r="G9" i="15"/>
  <c r="G9" i="1"/>
  <c r="F116" i="1"/>
  <c r="F116" i="17"/>
  <c r="F116" i="16"/>
  <c r="H53" i="5"/>
  <c r="G53" i="5"/>
  <c r="H66" i="5"/>
  <c r="H41" i="5" s="1"/>
  <c r="G66" i="5"/>
  <c r="G41" i="5" s="1"/>
  <c r="H68" i="5"/>
  <c r="H43" i="5" s="1"/>
  <c r="G68" i="5"/>
  <c r="G43" i="5" s="1"/>
  <c r="H24" i="16"/>
  <c r="H24" i="18"/>
  <c r="H24" i="1"/>
  <c r="H24" i="17"/>
  <c r="H24" i="15"/>
  <c r="F86" i="16"/>
  <c r="F86" i="17"/>
  <c r="H40" i="5"/>
  <c r="H39" i="17"/>
  <c r="H39" i="15"/>
  <c r="H39" i="16"/>
  <c r="H39" i="18"/>
  <c r="H39" i="1"/>
  <c r="F44" i="16"/>
  <c r="F121" i="16" s="1"/>
  <c r="F44" i="17"/>
  <c r="F121" i="17" s="1"/>
  <c r="F44" i="18"/>
  <c r="F121" i="18" s="1"/>
  <c r="F44" i="15"/>
  <c r="F121" i="15" s="1"/>
  <c r="F44" i="1"/>
  <c r="F121" i="1" s="1"/>
  <c r="F40" i="5"/>
  <c r="F101" i="15"/>
  <c r="F101" i="1"/>
  <c r="F101" i="16"/>
  <c r="H9" i="1"/>
  <c r="H9" i="17"/>
  <c r="H9" i="15"/>
  <c r="H9" i="16"/>
  <c r="H9" i="18"/>
  <c r="H28" i="5"/>
  <c r="F116" i="15"/>
  <c r="F116" i="18"/>
  <c r="F28" i="5"/>
  <c r="G24" i="16"/>
  <c r="G24" i="18"/>
  <c r="G24" i="1"/>
  <c r="G24" i="17"/>
  <c r="G24" i="15"/>
  <c r="F86" i="18"/>
  <c r="F86" i="15"/>
  <c r="F86" i="1"/>
  <c r="G39" i="16"/>
  <c r="G39" i="18"/>
  <c r="G39" i="1"/>
  <c r="G39" i="17"/>
  <c r="G39" i="15"/>
  <c r="E49" i="5"/>
  <c r="E40" i="15" s="1"/>
  <c r="E48" i="5"/>
  <c r="E47" i="5"/>
  <c r="E156" i="5"/>
  <c r="E42" i="15" l="1"/>
  <c r="E119" i="15" s="1"/>
  <c r="E117" i="15"/>
  <c r="G116" i="17"/>
  <c r="G116" i="18"/>
  <c r="G101" i="17"/>
  <c r="G101" i="18"/>
  <c r="E40" i="16"/>
  <c r="E40" i="17"/>
  <c r="H86" i="18"/>
  <c r="H86" i="15"/>
  <c r="H86" i="1"/>
  <c r="H116" i="1"/>
  <c r="H116" i="16"/>
  <c r="H116" i="17"/>
  <c r="H101" i="15"/>
  <c r="H101" i="1"/>
  <c r="H101" i="16"/>
  <c r="E70" i="2"/>
  <c r="E55" i="2"/>
  <c r="G28" i="5"/>
  <c r="G86" i="1"/>
  <c r="G86" i="17"/>
  <c r="G86" i="16"/>
  <c r="G44" i="15"/>
  <c r="G121" i="15" s="1"/>
  <c r="G44" i="1"/>
  <c r="G121" i="1" s="1"/>
  <c r="G44" i="16"/>
  <c r="G121" i="16" s="1"/>
  <c r="G44" i="17"/>
  <c r="G121" i="17" s="1"/>
  <c r="G44" i="18"/>
  <c r="G121" i="18" s="1"/>
  <c r="G40" i="5"/>
  <c r="G116" i="15"/>
  <c r="G116" i="1"/>
  <c r="G116" i="16"/>
  <c r="G101" i="15"/>
  <c r="G101" i="1"/>
  <c r="G101" i="16"/>
  <c r="E40" i="1"/>
  <c r="E40" i="18"/>
  <c r="H86" i="16"/>
  <c r="H86" i="17"/>
  <c r="F40" i="16"/>
  <c r="F40" i="1"/>
  <c r="F40" i="15"/>
  <c r="F40" i="18"/>
  <c r="F40" i="17"/>
  <c r="H116" i="18"/>
  <c r="H116" i="15"/>
  <c r="H40" i="16"/>
  <c r="H40" i="1"/>
  <c r="H40" i="15"/>
  <c r="H40" i="18"/>
  <c r="H40" i="17"/>
  <c r="H101" i="17"/>
  <c r="H101" i="18"/>
  <c r="E25" i="2"/>
  <c r="E10" i="2"/>
  <c r="E40" i="2"/>
  <c r="G86" i="15"/>
  <c r="G86" i="18"/>
  <c r="H44" i="15"/>
  <c r="H121" i="15" s="1"/>
  <c r="H44" i="1"/>
  <c r="H121" i="1" s="1"/>
  <c r="H44" i="16"/>
  <c r="H121" i="16" s="1"/>
  <c r="H44" i="17"/>
  <c r="H121" i="17" s="1"/>
  <c r="H44" i="18"/>
  <c r="H121" i="18" s="1"/>
  <c r="E157" i="5"/>
  <c r="H157" i="5"/>
  <c r="F156" i="5"/>
  <c r="F158" i="5"/>
  <c r="E159" i="5"/>
  <c r="E155" i="5"/>
  <c r="F155" i="5"/>
  <c r="F157" i="5"/>
  <c r="H159" i="5"/>
  <c r="H155" i="5"/>
  <c r="E158" i="5"/>
  <c r="H156" i="5"/>
  <c r="H158" i="5"/>
  <c r="F159" i="5"/>
  <c r="E125" i="2" l="1"/>
  <c r="E117" i="2"/>
  <c r="E109" i="2"/>
  <c r="E101" i="2"/>
  <c r="E93" i="2"/>
  <c r="E127" i="15"/>
  <c r="E50" i="15"/>
  <c r="H42" i="18"/>
  <c r="H119" i="18" s="1"/>
  <c r="H42" i="1"/>
  <c r="F42" i="18"/>
  <c r="F119" i="18" s="1"/>
  <c r="F42" i="1"/>
  <c r="E42" i="1"/>
  <c r="E42" i="16"/>
  <c r="E119" i="16" s="1"/>
  <c r="H42" i="17"/>
  <c r="H119" i="17" s="1"/>
  <c r="H42" i="15"/>
  <c r="H119" i="15" s="1"/>
  <c r="H42" i="16"/>
  <c r="H119" i="16" s="1"/>
  <c r="F42" i="17"/>
  <c r="F119" i="17" s="1"/>
  <c r="F42" i="15"/>
  <c r="F119" i="15" s="1"/>
  <c r="F42" i="16"/>
  <c r="F119" i="16" s="1"/>
  <c r="E42" i="18"/>
  <c r="E119" i="18" s="1"/>
  <c r="E42" i="17"/>
  <c r="E119" i="17" s="1"/>
  <c r="H117" i="18"/>
  <c r="H117" i="1"/>
  <c r="F117" i="18"/>
  <c r="F117" i="1"/>
  <c r="F10" i="2"/>
  <c r="F40" i="2"/>
  <c r="F70" i="2"/>
  <c r="E117" i="1"/>
  <c r="G40" i="15"/>
  <c r="G40" i="18"/>
  <c r="G40" i="17"/>
  <c r="G40" i="16"/>
  <c r="G40" i="1"/>
  <c r="E117" i="16"/>
  <c r="H117" i="17"/>
  <c r="H117" i="15"/>
  <c r="H117" i="16"/>
  <c r="F117" i="17"/>
  <c r="F117" i="15"/>
  <c r="F117" i="16"/>
  <c r="F55" i="2"/>
  <c r="F25" i="2"/>
  <c r="E117" i="18"/>
  <c r="E117" i="17"/>
  <c r="G155" i="5"/>
  <c r="G159" i="5"/>
  <c r="G157" i="5"/>
  <c r="G156" i="5"/>
  <c r="G158" i="5"/>
  <c r="E119" i="1" l="1"/>
  <c r="E127" i="1" s="1"/>
  <c r="H119" i="1"/>
  <c r="F119" i="1"/>
  <c r="F125" i="2"/>
  <c r="F117" i="2"/>
  <c r="F109" i="2"/>
  <c r="F101" i="2"/>
  <c r="F93" i="2"/>
  <c r="H50" i="17"/>
  <c r="H50" i="15"/>
  <c r="E50" i="1"/>
  <c r="F50" i="18"/>
  <c r="H50" i="18"/>
  <c r="E50" i="16"/>
  <c r="H50" i="1"/>
  <c r="H50" i="16"/>
  <c r="E50" i="18"/>
  <c r="F50" i="15"/>
  <c r="E50" i="17"/>
  <c r="F50" i="16"/>
  <c r="F50" i="17"/>
  <c r="F50" i="1"/>
  <c r="G42" i="16"/>
  <c r="G119" i="16" s="1"/>
  <c r="G42" i="18"/>
  <c r="G119" i="18" s="1"/>
  <c r="G42" i="1"/>
  <c r="G42" i="17"/>
  <c r="G119" i="17" s="1"/>
  <c r="G42" i="15"/>
  <c r="G119" i="15" s="1"/>
  <c r="H10" i="2"/>
  <c r="H55" i="2"/>
  <c r="G70" i="2"/>
  <c r="G55" i="2"/>
  <c r="G117" i="16"/>
  <c r="G117" i="18"/>
  <c r="E127" i="17"/>
  <c r="F127" i="16"/>
  <c r="F127" i="17"/>
  <c r="H127" i="15"/>
  <c r="E127" i="16"/>
  <c r="H25" i="2"/>
  <c r="H40" i="2"/>
  <c r="H70" i="2"/>
  <c r="G25" i="2"/>
  <c r="G10" i="2"/>
  <c r="G40" i="2"/>
  <c r="G117" i="1"/>
  <c r="G117" i="17"/>
  <c r="G117" i="15"/>
  <c r="E127" i="18"/>
  <c r="F127" i="15"/>
  <c r="H127" i="16"/>
  <c r="H127" i="17"/>
  <c r="F127" i="18"/>
  <c r="H127" i="18"/>
  <c r="F127" i="1" l="1"/>
  <c r="H127" i="1"/>
  <c r="G119" i="1"/>
  <c r="H125" i="2"/>
  <c r="G125" i="2"/>
  <c r="H117" i="2"/>
  <c r="G117" i="2"/>
  <c r="H109" i="2"/>
  <c r="G109" i="2"/>
  <c r="H101" i="2"/>
  <c r="G101" i="2"/>
  <c r="G50" i="16"/>
  <c r="G93" i="2"/>
  <c r="H93" i="2"/>
  <c r="G50" i="1"/>
  <c r="G50" i="15"/>
  <c r="G127" i="17"/>
  <c r="G127" i="18"/>
  <c r="G50" i="17"/>
  <c r="G50" i="18"/>
  <c r="G127" i="15"/>
  <c r="G127" i="16"/>
  <c r="G127" i="1" l="1"/>
  <c r="E59" i="5" l="1"/>
  <c r="E34" i="5" l="1"/>
  <c r="F59" i="5"/>
  <c r="H59" i="5" l="1"/>
  <c r="G59" i="5"/>
  <c r="F34" i="5"/>
  <c r="G34" i="5" l="1"/>
  <c r="H34" i="5"/>
  <c r="E55" i="5" l="1"/>
  <c r="E30" i="5" s="1"/>
  <c r="E57" i="5"/>
  <c r="E32" i="5" s="1"/>
  <c r="E61" i="5"/>
  <c r="E36" i="5" s="1"/>
  <c r="E63" i="5"/>
  <c r="E38" i="5" s="1"/>
  <c r="E54" i="5"/>
  <c r="E56" i="5"/>
  <c r="E31" i="5" s="1"/>
  <c r="E60" i="5"/>
  <c r="E62" i="5"/>
  <c r="E37" i="5" s="1"/>
  <c r="E35" i="5" l="1"/>
  <c r="E29" i="17"/>
  <c r="E106" i="17" s="1"/>
  <c r="E29" i="15"/>
  <c r="E106" i="15" s="1"/>
  <c r="E29" i="16"/>
  <c r="E106" i="16" s="1"/>
  <c r="E29" i="18"/>
  <c r="E106" i="18" s="1"/>
  <c r="E29" i="1"/>
  <c r="E106" i="1" s="1"/>
  <c r="E29" i="5"/>
  <c r="E14" i="16"/>
  <c r="E91" i="16" s="1"/>
  <c r="E14" i="17"/>
  <c r="E91" i="17" s="1"/>
  <c r="E14" i="18"/>
  <c r="E91" i="18" s="1"/>
  <c r="E14" i="15"/>
  <c r="E91" i="15" s="1"/>
  <c r="E14" i="1"/>
  <c r="F62" i="5"/>
  <c r="F37" i="5" s="1"/>
  <c r="F60" i="5"/>
  <c r="F56" i="5"/>
  <c r="F31" i="5" s="1"/>
  <c r="F54" i="5"/>
  <c r="F63" i="5"/>
  <c r="F38" i="5" s="1"/>
  <c r="F61" i="5"/>
  <c r="F36" i="5" s="1"/>
  <c r="F57" i="5"/>
  <c r="F32" i="5" s="1"/>
  <c r="F55" i="5"/>
  <c r="F30" i="5" s="1"/>
  <c r="E91" i="1" l="1"/>
  <c r="E15" i="2" s="1"/>
  <c r="E60" i="2"/>
  <c r="E30" i="2"/>
  <c r="E75" i="2"/>
  <c r="E45" i="2"/>
  <c r="F35" i="5"/>
  <c r="F29" i="15"/>
  <c r="F106" i="15" s="1"/>
  <c r="F29" i="16"/>
  <c r="F106" i="16" s="1"/>
  <c r="F29" i="18"/>
  <c r="F106" i="18" s="1"/>
  <c r="F29" i="1"/>
  <c r="F106" i="1" s="1"/>
  <c r="F29" i="17"/>
  <c r="F106" i="17" s="1"/>
  <c r="F29" i="5"/>
  <c r="F14" i="17"/>
  <c r="F91" i="17" s="1"/>
  <c r="F14" i="18"/>
  <c r="F91" i="18" s="1"/>
  <c r="F14" i="15"/>
  <c r="F91" i="15" s="1"/>
  <c r="F14" i="1"/>
  <c r="F14" i="16"/>
  <c r="F91" i="16" s="1"/>
  <c r="H55" i="5"/>
  <c r="H30" i="5" s="1"/>
  <c r="G55" i="5"/>
  <c r="G30" i="5" s="1"/>
  <c r="H57" i="5"/>
  <c r="H32" i="5" s="1"/>
  <c r="G57" i="5"/>
  <c r="G32" i="5" s="1"/>
  <c r="H61" i="5"/>
  <c r="H36" i="5" s="1"/>
  <c r="G61" i="5"/>
  <c r="G36" i="5" s="1"/>
  <c r="H63" i="5"/>
  <c r="H38" i="5" s="1"/>
  <c r="G63" i="5"/>
  <c r="G38" i="5" s="1"/>
  <c r="H54" i="5"/>
  <c r="G54" i="5"/>
  <c r="H56" i="5"/>
  <c r="H31" i="5" s="1"/>
  <c r="G56" i="5"/>
  <c r="G31" i="5" s="1"/>
  <c r="H60" i="5"/>
  <c r="G60" i="5"/>
  <c r="H62" i="5"/>
  <c r="H37" i="5" s="1"/>
  <c r="G62" i="5"/>
  <c r="G37" i="5" s="1"/>
  <c r="E10" i="15"/>
  <c r="E10" i="1"/>
  <c r="E10" i="16"/>
  <c r="E10" i="17"/>
  <c r="E10" i="18"/>
  <c r="E25" i="1"/>
  <c r="E25" i="17"/>
  <c r="E25" i="16"/>
  <c r="E25" i="15"/>
  <c r="E25" i="18"/>
  <c r="E152" i="5"/>
  <c r="E145" i="5"/>
  <c r="E147" i="5"/>
  <c r="E153" i="5"/>
  <c r="E151" i="5"/>
  <c r="E146" i="5"/>
  <c r="E143" i="5"/>
  <c r="E149" i="5"/>
  <c r="E144" i="5"/>
  <c r="E150" i="5"/>
  <c r="F45" i="2" l="1"/>
  <c r="F30" i="2"/>
  <c r="F60" i="2"/>
  <c r="F91" i="1"/>
  <c r="F15" i="2" s="1"/>
  <c r="F75" i="2"/>
  <c r="E27" i="15"/>
  <c r="E104" i="15" s="1"/>
  <c r="E27" i="17"/>
  <c r="E104" i="17" s="1"/>
  <c r="E12" i="17"/>
  <c r="E89" i="17" s="1"/>
  <c r="E12" i="1"/>
  <c r="E27" i="18"/>
  <c r="E104" i="18" s="1"/>
  <c r="E27" i="16"/>
  <c r="E104" i="16" s="1"/>
  <c r="E27" i="1"/>
  <c r="E12" i="18"/>
  <c r="E89" i="18" s="1"/>
  <c r="E12" i="16"/>
  <c r="E89" i="16" s="1"/>
  <c r="E12" i="15"/>
  <c r="E89" i="15" s="1"/>
  <c r="E102" i="15"/>
  <c r="E102" i="17"/>
  <c r="E87" i="17"/>
  <c r="E87" i="1"/>
  <c r="G35" i="5"/>
  <c r="G29" i="17"/>
  <c r="G106" i="17" s="1"/>
  <c r="G29" i="15"/>
  <c r="G106" i="15" s="1"/>
  <c r="G29" i="16"/>
  <c r="G106" i="16" s="1"/>
  <c r="G29" i="18"/>
  <c r="G106" i="18" s="1"/>
  <c r="G29" i="1"/>
  <c r="G106" i="1" s="1"/>
  <c r="G29" i="5"/>
  <c r="G14" i="15"/>
  <c r="G91" i="15" s="1"/>
  <c r="G14" i="16"/>
  <c r="G91" i="16" s="1"/>
  <c r="G14" i="18"/>
  <c r="G91" i="18" s="1"/>
  <c r="G14" i="17"/>
  <c r="G91" i="17" s="1"/>
  <c r="G14" i="1"/>
  <c r="E102" i="18"/>
  <c r="E102" i="16"/>
  <c r="E102" i="1"/>
  <c r="E87" i="18"/>
  <c r="E87" i="16"/>
  <c r="E87" i="15"/>
  <c r="H35" i="5"/>
  <c r="H29" i="16"/>
  <c r="H106" i="16" s="1"/>
  <c r="H29" i="18"/>
  <c r="H106" i="18" s="1"/>
  <c r="H29" i="1"/>
  <c r="H106" i="1" s="1"/>
  <c r="H29" i="17"/>
  <c r="H106" i="17" s="1"/>
  <c r="H29" i="15"/>
  <c r="H106" i="15" s="1"/>
  <c r="H29" i="5"/>
  <c r="H14" i="18"/>
  <c r="H91" i="18" s="1"/>
  <c r="H14" i="1"/>
  <c r="H14" i="17"/>
  <c r="H91" i="17" s="1"/>
  <c r="H14" i="15"/>
  <c r="H91" i="15" s="1"/>
  <c r="H14" i="16"/>
  <c r="H91" i="16" s="1"/>
  <c r="F10" i="1"/>
  <c r="F10" i="18"/>
  <c r="F10" i="16"/>
  <c r="F10" i="15"/>
  <c r="F10" i="17"/>
  <c r="F25" i="16"/>
  <c r="F25" i="15"/>
  <c r="F25" i="17"/>
  <c r="F25" i="1"/>
  <c r="F25" i="18"/>
  <c r="E162" i="5"/>
  <c r="E163" i="5"/>
  <c r="F153" i="5"/>
  <c r="F152" i="5"/>
  <c r="F150" i="5"/>
  <c r="F149" i="5"/>
  <c r="E165" i="5"/>
  <c r="E164" i="5"/>
  <c r="F145" i="5"/>
  <c r="F144" i="5"/>
  <c r="F143" i="5"/>
  <c r="F151" i="5"/>
  <c r="F146" i="5"/>
  <c r="F147" i="5"/>
  <c r="E35" i="15" l="1"/>
  <c r="E104" i="1"/>
  <c r="E112" i="1" s="1"/>
  <c r="E89" i="1"/>
  <c r="H91" i="1"/>
  <c r="G91" i="1"/>
  <c r="G15" i="2" s="1"/>
  <c r="E26" i="2"/>
  <c r="E102" i="2" s="1"/>
  <c r="G75" i="2"/>
  <c r="G30" i="2"/>
  <c r="H45" i="2"/>
  <c r="H60" i="2"/>
  <c r="H75" i="2"/>
  <c r="G60" i="2"/>
  <c r="G45" i="2"/>
  <c r="E71" i="2"/>
  <c r="E126" i="2" s="1"/>
  <c r="E56" i="2"/>
  <c r="E118" i="2" s="1"/>
  <c r="E11" i="2"/>
  <c r="E94" i="2" s="1"/>
  <c r="H30" i="2"/>
  <c r="H15" i="2"/>
  <c r="E41" i="2"/>
  <c r="E110" i="2" s="1"/>
  <c r="E43" i="2"/>
  <c r="E111" i="2" s="1"/>
  <c r="E58" i="2"/>
  <c r="E119" i="2" s="1"/>
  <c r="E28" i="2"/>
  <c r="E103" i="2" s="1"/>
  <c r="E73" i="2"/>
  <c r="E127" i="2" s="1"/>
  <c r="E35" i="16"/>
  <c r="E20" i="18"/>
  <c r="E20" i="15"/>
  <c r="E20" i="1"/>
  <c r="E20" i="16"/>
  <c r="E35" i="1"/>
  <c r="E35" i="18"/>
  <c r="E20" i="17"/>
  <c r="E35" i="17"/>
  <c r="F27" i="1"/>
  <c r="F27" i="15"/>
  <c r="F104" i="15" s="1"/>
  <c r="F12" i="17"/>
  <c r="F89" i="17" s="1"/>
  <c r="F12" i="16"/>
  <c r="F89" i="16" s="1"/>
  <c r="F12" i="1"/>
  <c r="F27" i="18"/>
  <c r="F104" i="18" s="1"/>
  <c r="F27" i="17"/>
  <c r="F104" i="17" s="1"/>
  <c r="F27" i="16"/>
  <c r="F104" i="16" s="1"/>
  <c r="F12" i="15"/>
  <c r="F89" i="15" s="1"/>
  <c r="F12" i="18"/>
  <c r="F89" i="18" s="1"/>
  <c r="F102" i="1"/>
  <c r="F102" i="15"/>
  <c r="F87" i="17"/>
  <c r="F87" i="16"/>
  <c r="F87" i="1"/>
  <c r="H10" i="16"/>
  <c r="H10" i="15"/>
  <c r="H10" i="17"/>
  <c r="H10" i="1"/>
  <c r="H10" i="18"/>
  <c r="H25" i="17"/>
  <c r="H25" i="1"/>
  <c r="H25" i="18"/>
  <c r="H25" i="16"/>
  <c r="H25" i="15"/>
  <c r="G10" i="17"/>
  <c r="G10" i="18"/>
  <c r="G10" i="16"/>
  <c r="G10" i="15"/>
  <c r="G10" i="1"/>
  <c r="G25" i="17"/>
  <c r="G25" i="1"/>
  <c r="G25" i="18"/>
  <c r="G25" i="16"/>
  <c r="G25" i="15"/>
  <c r="E97" i="16"/>
  <c r="E112" i="18"/>
  <c r="E97" i="17"/>
  <c r="E112" i="17"/>
  <c r="F102" i="18"/>
  <c r="F102" i="17"/>
  <c r="F102" i="16"/>
  <c r="F87" i="15"/>
  <c r="F87" i="18"/>
  <c r="E97" i="15"/>
  <c r="E97" i="18"/>
  <c r="E112" i="16"/>
  <c r="E112" i="15"/>
  <c r="F163" i="5"/>
  <c r="E170" i="5"/>
  <c r="E168" i="5"/>
  <c r="F164" i="5"/>
  <c r="E169" i="5"/>
  <c r="G143" i="5"/>
  <c r="H151" i="5"/>
  <c r="H149" i="5"/>
  <c r="H150" i="5"/>
  <c r="G152" i="5"/>
  <c r="G150" i="5"/>
  <c r="G144" i="5"/>
  <c r="H145" i="5"/>
  <c r="H147" i="5"/>
  <c r="G149" i="5"/>
  <c r="G147" i="5"/>
  <c r="F162" i="5"/>
  <c r="E171" i="5"/>
  <c r="E161" i="5"/>
  <c r="F165" i="5"/>
  <c r="H143" i="5"/>
  <c r="G151" i="5"/>
  <c r="H144" i="5"/>
  <c r="G146" i="5"/>
  <c r="H146" i="5"/>
  <c r="H153" i="5"/>
  <c r="G145" i="5"/>
  <c r="G153" i="5"/>
  <c r="H152" i="5"/>
  <c r="E13" i="2" l="1"/>
  <c r="E95" i="2" s="1"/>
  <c r="E97" i="1"/>
  <c r="F104" i="1"/>
  <c r="F89" i="1"/>
  <c r="F11" i="2"/>
  <c r="F94" i="2" s="1"/>
  <c r="F26" i="2"/>
  <c r="F102" i="2" s="1"/>
  <c r="F71" i="2"/>
  <c r="F126" i="2" s="1"/>
  <c r="F56" i="2"/>
  <c r="F118" i="2" s="1"/>
  <c r="F41" i="2"/>
  <c r="F110" i="2" s="1"/>
  <c r="F28" i="2"/>
  <c r="F103" i="2" s="1"/>
  <c r="F73" i="2"/>
  <c r="F127" i="2" s="1"/>
  <c r="F58" i="2"/>
  <c r="F119" i="2" s="1"/>
  <c r="F43" i="2"/>
  <c r="F111" i="2" s="1"/>
  <c r="F35" i="16"/>
  <c r="F20" i="17"/>
  <c r="F20" i="18"/>
  <c r="F35" i="18"/>
  <c r="F20" i="1"/>
  <c r="F35" i="1"/>
  <c r="F20" i="15"/>
  <c r="F35" i="17"/>
  <c r="F20" i="16"/>
  <c r="F35" i="15"/>
  <c r="G27" i="16"/>
  <c r="G104" i="16" s="1"/>
  <c r="G27" i="1"/>
  <c r="G12" i="15"/>
  <c r="G89" i="15" s="1"/>
  <c r="G12" i="18"/>
  <c r="G89" i="18" s="1"/>
  <c r="H27" i="15"/>
  <c r="H104" i="15" s="1"/>
  <c r="H27" i="18"/>
  <c r="H104" i="18" s="1"/>
  <c r="H27" i="17"/>
  <c r="H104" i="17" s="1"/>
  <c r="H12" i="18"/>
  <c r="H89" i="18" s="1"/>
  <c r="H12" i="17"/>
  <c r="H89" i="17" s="1"/>
  <c r="H12" i="16"/>
  <c r="H89" i="16" s="1"/>
  <c r="G27" i="15"/>
  <c r="G104" i="15" s="1"/>
  <c r="G27" i="18"/>
  <c r="G104" i="18" s="1"/>
  <c r="G27" i="17"/>
  <c r="G104" i="17" s="1"/>
  <c r="G12" i="1"/>
  <c r="G12" i="16"/>
  <c r="G89" i="16" s="1"/>
  <c r="G12" i="17"/>
  <c r="G89" i="17" s="1"/>
  <c r="H27" i="16"/>
  <c r="H104" i="16" s="1"/>
  <c r="H27" i="1"/>
  <c r="H12" i="1"/>
  <c r="H12" i="15"/>
  <c r="H89" i="15" s="1"/>
  <c r="G102" i="16"/>
  <c r="G102" i="1"/>
  <c r="G87" i="15"/>
  <c r="G87" i="18"/>
  <c r="H102" i="15"/>
  <c r="H102" i="18"/>
  <c r="H102" i="17"/>
  <c r="H87" i="18"/>
  <c r="H87" i="17"/>
  <c r="H87" i="16"/>
  <c r="F97" i="15"/>
  <c r="F112" i="17"/>
  <c r="F97" i="16"/>
  <c r="F112" i="15"/>
  <c r="G102" i="15"/>
  <c r="G102" i="18"/>
  <c r="G102" i="17"/>
  <c r="G87" i="1"/>
  <c r="G87" i="16"/>
  <c r="G87" i="17"/>
  <c r="H102" i="16"/>
  <c r="H102" i="1"/>
  <c r="H87" i="1"/>
  <c r="H87" i="15"/>
  <c r="F97" i="18"/>
  <c r="F112" i="16"/>
  <c r="F112" i="18"/>
  <c r="F97" i="17"/>
  <c r="G165" i="5"/>
  <c r="F171" i="5"/>
  <c r="G164" i="5"/>
  <c r="F170" i="5"/>
  <c r="F161" i="5"/>
  <c r="H165" i="5"/>
  <c r="G163" i="5"/>
  <c r="E167" i="5"/>
  <c r="H164" i="5"/>
  <c r="H162" i="5"/>
  <c r="F169" i="5"/>
  <c r="H163" i="5"/>
  <c r="G162" i="5"/>
  <c r="F168" i="5"/>
  <c r="F112" i="1" l="1"/>
  <c r="F13" i="2"/>
  <c r="F95" i="2" s="1"/>
  <c r="F97" i="1"/>
  <c r="H89" i="1"/>
  <c r="H104" i="1"/>
  <c r="G104" i="1"/>
  <c r="G89" i="1"/>
  <c r="H26" i="2"/>
  <c r="H102" i="2" s="1"/>
  <c r="G41" i="2"/>
  <c r="G110" i="2" s="1"/>
  <c r="H11" i="2"/>
  <c r="H94" i="2" s="1"/>
  <c r="G56" i="2"/>
  <c r="G118" i="2" s="1"/>
  <c r="G11" i="2"/>
  <c r="G94" i="2" s="1"/>
  <c r="H56" i="2"/>
  <c r="H118" i="2" s="1"/>
  <c r="G26" i="2"/>
  <c r="G102" i="2" s="1"/>
  <c r="H41" i="2"/>
  <c r="H110" i="2" s="1"/>
  <c r="H71" i="2"/>
  <c r="H126" i="2" s="1"/>
  <c r="G71" i="2"/>
  <c r="G126" i="2" s="1"/>
  <c r="G58" i="2"/>
  <c r="G119" i="2" s="1"/>
  <c r="H28" i="2"/>
  <c r="H103" i="2" s="1"/>
  <c r="G43" i="2"/>
  <c r="G111" i="2" s="1"/>
  <c r="H58" i="2"/>
  <c r="H119" i="2" s="1"/>
  <c r="G28" i="2"/>
  <c r="G103" i="2" s="1"/>
  <c r="H43" i="2"/>
  <c r="H111" i="2" s="1"/>
  <c r="H73" i="2"/>
  <c r="H127" i="2" s="1"/>
  <c r="G73" i="2"/>
  <c r="G127" i="2" s="1"/>
  <c r="G20" i="17"/>
  <c r="H20" i="16"/>
  <c r="G20" i="15"/>
  <c r="G35" i="1"/>
  <c r="H20" i="1"/>
  <c r="H35" i="1"/>
  <c r="G20" i="1"/>
  <c r="G35" i="18"/>
  <c r="H20" i="18"/>
  <c r="H35" i="18"/>
  <c r="G20" i="18"/>
  <c r="G35" i="16"/>
  <c r="H20" i="15"/>
  <c r="H35" i="16"/>
  <c r="G20" i="16"/>
  <c r="G35" i="17"/>
  <c r="G35" i="15"/>
  <c r="H20" i="17"/>
  <c r="H35" i="17"/>
  <c r="H35" i="15"/>
  <c r="H97" i="15"/>
  <c r="H112" i="16"/>
  <c r="G97" i="16"/>
  <c r="G112" i="17"/>
  <c r="G112" i="15"/>
  <c r="H97" i="17"/>
  <c r="H112" i="17"/>
  <c r="H112" i="15"/>
  <c r="G97" i="15"/>
  <c r="G97" i="17"/>
  <c r="G112" i="18"/>
  <c r="H97" i="16"/>
  <c r="H97" i="18"/>
  <c r="H112" i="18"/>
  <c r="G97" i="18"/>
  <c r="G112" i="16"/>
  <c r="H170" i="5"/>
  <c r="F167" i="5"/>
  <c r="H168" i="5"/>
  <c r="G168" i="5"/>
  <c r="H169" i="5"/>
  <c r="G161" i="5"/>
  <c r="G170" i="5"/>
  <c r="H161" i="5"/>
  <c r="G171" i="5"/>
  <c r="G169" i="5"/>
  <c r="H171" i="5"/>
  <c r="H112" i="1" l="1"/>
  <c r="G112" i="1"/>
  <c r="G97" i="1"/>
  <c r="H13" i="2"/>
  <c r="H95" i="2" s="1"/>
  <c r="G13" i="2"/>
  <c r="G95" i="2" s="1"/>
  <c r="H97" i="1"/>
  <c r="G167" i="5"/>
  <c r="H167" i="5"/>
  <c r="E100" i="2" l="1"/>
  <c r="E92" i="2"/>
  <c r="E108" i="2"/>
  <c r="G100" i="2"/>
  <c r="G108" i="2"/>
  <c r="H81" i="2"/>
  <c r="H124" i="2"/>
  <c r="H100" i="2"/>
  <c r="H92" i="2"/>
  <c r="F108" i="2"/>
  <c r="E124" i="2"/>
  <c r="E116" i="2"/>
  <c r="G81" i="2"/>
  <c r="G124" i="2"/>
  <c r="G92" i="2"/>
  <c r="G66" i="2"/>
  <c r="G116" i="2"/>
  <c r="H66" i="2"/>
  <c r="H116" i="2"/>
  <c r="H108" i="2"/>
  <c r="F100" i="2"/>
  <c r="F92" i="2"/>
  <c r="F116" i="2"/>
  <c r="F124" i="2"/>
  <c r="H120" i="2" l="1"/>
  <c r="H121" i="2" s="1"/>
  <c r="G88" i="2"/>
  <c r="G89" i="2"/>
  <c r="H89" i="2"/>
  <c r="H88" i="2"/>
  <c r="G120" i="2"/>
  <c r="G121" i="2" s="1"/>
  <c r="G128" i="2"/>
  <c r="G129" i="2" s="1"/>
  <c r="H128" i="2"/>
  <c r="H129" i="2" s="1"/>
  <c r="E21" i="2" l="1"/>
  <c r="E128" i="2"/>
  <c r="E81" i="2"/>
  <c r="E104" i="2"/>
  <c r="E36" i="2"/>
  <c r="E120" i="2"/>
  <c r="E66" i="2"/>
  <c r="E112" i="2"/>
  <c r="E51" i="2"/>
  <c r="E121" i="2" l="1"/>
  <c r="E88" i="2"/>
  <c r="E129" i="2"/>
  <c r="E89" i="2"/>
  <c r="F112" i="2"/>
  <c r="F51" i="2"/>
  <c r="F104" i="2"/>
  <c r="F36" i="2"/>
  <c r="F120" i="2"/>
  <c r="F66" i="2"/>
  <c r="F96" i="2"/>
  <c r="F21" i="2"/>
  <c r="F128" i="2"/>
  <c r="F81" i="2"/>
  <c r="E113" i="2"/>
  <c r="E87" i="2"/>
  <c r="E105" i="2"/>
  <c r="E86" i="2"/>
  <c r="E85" i="2"/>
  <c r="E96" i="2"/>
  <c r="F97" i="2" l="1"/>
  <c r="F85" i="2"/>
  <c r="H112" i="2"/>
  <c r="H51" i="2"/>
  <c r="G96" i="2"/>
  <c r="G21" i="2"/>
  <c r="H21" i="2"/>
  <c r="F105" i="2"/>
  <c r="F86" i="2"/>
  <c r="G104" i="2"/>
  <c r="G36" i="2"/>
  <c r="G112" i="2"/>
  <c r="G51" i="2"/>
  <c r="H104" i="2"/>
  <c r="H36" i="2"/>
  <c r="E97" i="2"/>
  <c r="F129" i="2"/>
  <c r="F89" i="2"/>
  <c r="F121" i="2"/>
  <c r="F88" i="2"/>
  <c r="F113" i="2"/>
  <c r="F87" i="2"/>
  <c r="H105" i="2" l="1"/>
  <c r="H86" i="2"/>
  <c r="G105" i="2"/>
  <c r="G86" i="2"/>
  <c r="H85" i="2"/>
  <c r="H96" i="2"/>
  <c r="H113" i="2"/>
  <c r="H87" i="2"/>
  <c r="G113" i="2"/>
  <c r="G87" i="2"/>
  <c r="G97" i="2"/>
  <c r="G85" i="2"/>
  <c r="H97" i="2" l="1"/>
</calcChain>
</file>

<file path=xl/sharedStrings.xml><?xml version="1.0" encoding="utf-8"?>
<sst xmlns="http://schemas.openxmlformats.org/spreadsheetml/2006/main" count="2142" uniqueCount="151">
  <si>
    <t>Inputs</t>
  </si>
  <si>
    <t>Distributer 5</t>
  </si>
  <si>
    <t>Distributer 4</t>
  </si>
  <si>
    <t>Distributer 3</t>
  </si>
  <si>
    <t>Distributer 2</t>
  </si>
  <si>
    <t>Distributer 1</t>
  </si>
  <si>
    <t>Distributers</t>
  </si>
  <si>
    <t>Wholesale</t>
  </si>
  <si>
    <t>2014/15</t>
  </si>
  <si>
    <t>2012/13</t>
  </si>
  <si>
    <t>2011/12</t>
  </si>
  <si>
    <t>2010/11</t>
  </si>
  <si>
    <t>Customer Numbers</t>
  </si>
  <si>
    <t>Consumption Volumes</t>
  </si>
  <si>
    <t>Value</t>
  </si>
  <si>
    <t>Numbers</t>
  </si>
  <si>
    <t>Source</t>
  </si>
  <si>
    <t>c/kwh</t>
  </si>
  <si>
    <t>Distribution Cost</t>
  </si>
  <si>
    <t>Feed In Tariff</t>
  </si>
  <si>
    <t>kWh/pa</t>
  </si>
  <si>
    <t>Retail</t>
  </si>
  <si>
    <t>LRET</t>
  </si>
  <si>
    <t>SRES</t>
  </si>
  <si>
    <t>Standing</t>
  </si>
  <si>
    <t>Block 1</t>
  </si>
  <si>
    <t>Block 2</t>
  </si>
  <si>
    <t>Block 3</t>
  </si>
  <si>
    <t>Proportion of consumption</t>
  </si>
  <si>
    <t>percent</t>
  </si>
  <si>
    <t>AER Data</t>
  </si>
  <si>
    <t>Calculation</t>
  </si>
  <si>
    <t>TUOS (3rd step)</t>
  </si>
  <si>
    <t>X factor</t>
  </si>
  <si>
    <t>Growth factor</t>
  </si>
  <si>
    <t>c/pa</t>
  </si>
  <si>
    <t>DUOS</t>
  </si>
  <si>
    <t>Input</t>
  </si>
  <si>
    <t>Output</t>
  </si>
  <si>
    <t>Ratio for tariff blocks</t>
  </si>
  <si>
    <t>1st Step</t>
  </si>
  <si>
    <t>2nd Step</t>
  </si>
  <si>
    <t>3rd Step</t>
  </si>
  <si>
    <t>calculation</t>
  </si>
  <si>
    <t>Average Bill</t>
  </si>
  <si>
    <t>Distribution</t>
  </si>
  <si>
    <t>Transmission</t>
  </si>
  <si>
    <t>Green Schemes</t>
  </si>
  <si>
    <t>cents nominal</t>
  </si>
  <si>
    <t>Retail Margin</t>
  </si>
  <si>
    <t>Index</t>
  </si>
  <si>
    <t>Global Inputs</t>
  </si>
  <si>
    <t>Business Inputs</t>
  </si>
  <si>
    <t>Calculations</t>
  </si>
  <si>
    <t>Outputs</t>
  </si>
  <si>
    <t>Notes</t>
  </si>
  <si>
    <t>Version control</t>
  </si>
  <si>
    <t>Author</t>
  </si>
  <si>
    <t>Comments (additions/corrections)</t>
  </si>
  <si>
    <t>Date</t>
  </si>
  <si>
    <t>Creation of sheet</t>
  </si>
  <si>
    <t>Total</t>
  </si>
  <si>
    <t>Average Tariff</t>
  </si>
  <si>
    <t>cents/pa</t>
  </si>
  <si>
    <t>2013/14</t>
  </si>
  <si>
    <t>Name</t>
  </si>
  <si>
    <t>X Factor</t>
  </si>
  <si>
    <t>Forecast inflation</t>
  </si>
  <si>
    <t>Feed-in Tariffs</t>
  </si>
  <si>
    <t>State Based Green Schemes</t>
  </si>
  <si>
    <t>Retail operating Cost</t>
  </si>
  <si>
    <t>c/kWh</t>
  </si>
  <si>
    <t>Supply charge (DUOS)</t>
  </si>
  <si>
    <t>$/mWh</t>
  </si>
  <si>
    <t>Ratio of Distribution regions</t>
  </si>
  <si>
    <t>Small scale renewable energy scheme</t>
  </si>
  <si>
    <t>Feed in Tariffs</t>
  </si>
  <si>
    <t>DUOS (1st step)</t>
  </si>
  <si>
    <t>DUOS (2nd step)</t>
  </si>
  <si>
    <t>kWh</t>
  </si>
  <si>
    <t>Generation</t>
  </si>
  <si>
    <t>Dropdown lists</t>
  </si>
  <si>
    <t>Yes</t>
  </si>
  <si>
    <t>No</t>
  </si>
  <si>
    <t>Total generation costs</t>
  </si>
  <si>
    <t>Cost base for retail margin</t>
  </si>
  <si>
    <t>Are network costs excluded from retail margin?</t>
  </si>
  <si>
    <t>DUOS (3rd step)</t>
  </si>
  <si>
    <t>TUOS (4th step)</t>
  </si>
  <si>
    <t>Block 4</t>
  </si>
  <si>
    <t>4th Step</t>
  </si>
  <si>
    <t>Metering</t>
  </si>
  <si>
    <t>Cost</t>
  </si>
  <si>
    <t>Metering X factor</t>
  </si>
  <si>
    <t>Is the Feed-in Tariff incorporated in the DNSP cost</t>
  </si>
  <si>
    <t>DUOS (4th step)</t>
  </si>
  <si>
    <t>Large Scale Renewable Energy Target</t>
  </si>
  <si>
    <t>Small Scale Renewable Energy Scheme</t>
  </si>
  <si>
    <t>Check</t>
  </si>
  <si>
    <t>Carbon costs</t>
  </si>
  <si>
    <t xml:space="preserve"> </t>
  </si>
  <si>
    <t>All prices are exclusive of GST</t>
  </si>
  <si>
    <t>All prices for 2009-10, 2010-11, 2011-12 and 2012-13 are actuals. 2013-14 and 2014-15 are estimates</t>
  </si>
  <si>
    <t>Supply charge (TUOS)</t>
  </si>
  <si>
    <t>TUOS (1st step)</t>
  </si>
  <si>
    <t>TUOS (2nd step)</t>
  </si>
  <si>
    <t>WEC</t>
  </si>
  <si>
    <t xml:space="preserve">Losses </t>
  </si>
  <si>
    <t>Carbon</t>
  </si>
  <si>
    <t>$/mWh are converted to c/kWh by multiplying by 100/1000</t>
  </si>
  <si>
    <t>$/kWh are converted to c/kWh by multiplying by 100</t>
  </si>
  <si>
    <t>For all projected years the AER multiplied the DUOS by (1+inflation) x (1-X factor) the AEMC has copied this methodology utilising AEMC model consistent inflation and consumption rather than adopt the AER's values</t>
  </si>
  <si>
    <t>For all projected years the AER multiplied the TUOS by (1+inflation) x (1-X factor) /(1+ growth factor) the AEMC has copied this methodology utilising AEMC model consistent inflation and consumption rather than adopt the AER's values</t>
  </si>
  <si>
    <t>Graphs</t>
  </si>
  <si>
    <t>Tables for document</t>
  </si>
  <si>
    <t>Fixed</t>
  </si>
  <si>
    <t>Retail and Residual</t>
  </si>
  <si>
    <t>Frontier Nominal (c/kwh)</t>
  </si>
  <si>
    <t xml:space="preserve">Market Fees </t>
  </si>
  <si>
    <t>Ancillary Services</t>
  </si>
  <si>
    <t>Which Jurisdiction approach?</t>
  </si>
  <si>
    <t>Frontier Trend</t>
  </si>
  <si>
    <t>Frontier Number</t>
  </si>
  <si>
    <t>CPI</t>
  </si>
  <si>
    <t>Market Fees</t>
  </si>
  <si>
    <t>Transmission cost by distribution region</t>
  </si>
  <si>
    <t>Retail by distribution region</t>
  </si>
  <si>
    <t>Wholesale cost by distribution region</t>
  </si>
  <si>
    <t>Wholesale cost projection</t>
  </si>
  <si>
    <t>Switches</t>
  </si>
  <si>
    <t>Frontier Source ($/mWh)</t>
  </si>
  <si>
    <t>Is the carbon cost included in source generation prices in this year</t>
  </si>
  <si>
    <t>cents/year</t>
  </si>
  <si>
    <t>c/KWh</t>
  </si>
  <si>
    <t>AEMC</t>
  </si>
  <si>
    <t xml:space="preserve">Ausgrid </t>
  </si>
  <si>
    <t>Endeavour</t>
  </si>
  <si>
    <t>Essential</t>
  </si>
  <si>
    <t>NSW</t>
  </si>
  <si>
    <t>blank</t>
  </si>
  <si>
    <t>Transgrid</t>
  </si>
  <si>
    <t>AER</t>
  </si>
  <si>
    <t>Energy savings</t>
  </si>
  <si>
    <t>Frontier</t>
  </si>
  <si>
    <t>$/pa</t>
  </si>
  <si>
    <t>$/kWh</t>
  </si>
  <si>
    <t>%/pa</t>
  </si>
  <si>
    <t>per cent</t>
  </si>
  <si>
    <t>$/MWh</t>
  </si>
  <si>
    <t>Blank</t>
  </si>
  <si>
    <t>Network prices are based on the AER determination adjusted for ACT outcomes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</si>
</sst>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_);_(@_)"/>
    <numFmt numFmtId="165" formatCode="_(* #,##0_);_(* \(#,##0\);_(* &quot;-&quot;_);_(@_)"/>
    <numFmt numFmtId="166" formatCode="0.0%"/>
    <numFmt numFmtId="167" formatCode="_-* #,##0_-;\-* #,##0_-;_-* &quot;-&quot;??_-;_-@_-"/>
    <numFmt numFmtId="168" formatCode="_-* #,##0.0000_-;\-* #,##0.0000_-;_-* &quot;-&quot;??_-;_-@_-"/>
    <numFmt numFmtId="169" formatCode="_-* #,##0.00000_-;\-* #,##0.00000_-;_-* &quot;-&quot;??_-;_-@_-"/>
    <numFmt numFmtId="170" formatCode="_-* #,##0.000000_-;\-* #,##0.000000_-;_-* &quot;-&quot;??_-;_-@_-"/>
    <numFmt numFmtId="171" formatCode="_-* #,##0.0_-;\-* #,##0.0_-;_-* &quot;-&quot;??_-;_-@_-"/>
    <numFmt numFmtId="172" formatCode="#,##0.00_ ;\-#,##0.00\ "/>
    <numFmt numFmtId="173" formatCode="0.000000"/>
    <numFmt numFmtId="174" formatCode="&quot;$&quot;#,##0.00"/>
    <numFmt numFmtId="175" formatCode="_-* #,##0.000_-;\-* #,##0.000_-;_-* &quot;-&quot;??_-;_-@_-"/>
    <numFmt numFmtId="176" formatCode="0.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4"/>
      <name val="Arial"/>
      <family val="2"/>
    </font>
    <font>
      <sz val="9"/>
      <color indexed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57"/>
      <name val="Arial"/>
      <family val="2"/>
    </font>
    <font>
      <sz val="8"/>
      <color indexed="1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name val="Book Antiqua"/>
      <family val="1"/>
    </font>
    <font>
      <sz val="11"/>
      <name val="Book Antiqua"/>
      <family val="1"/>
    </font>
    <font>
      <b/>
      <sz val="14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name val="Book Antiqua"/>
      <family val="1"/>
    </font>
    <font>
      <sz val="11"/>
      <color rgb="FF3F3F76"/>
      <name val="Book Antiqua"/>
      <family val="1"/>
    </font>
    <font>
      <sz val="11"/>
      <color rgb="FF3F3F3F"/>
      <name val="Book Antiqua"/>
      <family val="1"/>
    </font>
    <font>
      <b/>
      <sz val="18"/>
      <color theme="0"/>
      <name val="Book Antiqua"/>
      <family val="1"/>
    </font>
    <font>
      <b/>
      <sz val="14"/>
      <color theme="0"/>
      <name val="Book Antiqua"/>
      <family val="1"/>
    </font>
    <font>
      <b/>
      <sz val="10"/>
      <color theme="0"/>
      <name val="Book Antiqua"/>
      <family val="1"/>
    </font>
    <font>
      <b/>
      <sz val="11"/>
      <color theme="0"/>
      <name val="Book Antiqua"/>
      <family val="1"/>
    </font>
    <font>
      <b/>
      <sz val="12"/>
      <color theme="1"/>
      <name val="Book Antiqua"/>
      <family val="1"/>
    </font>
    <font>
      <sz val="8"/>
      <color rgb="FFFF0000"/>
      <name val="Book Antiqua"/>
      <family val="1"/>
    </font>
    <font>
      <sz val="11"/>
      <color theme="0"/>
      <name val="Book Antiqua"/>
      <family val="1"/>
    </font>
    <font>
      <b/>
      <sz val="11"/>
      <color theme="9" tint="-0.249977111117893"/>
      <name val="Book Antiqua"/>
      <family val="1"/>
    </font>
    <font>
      <sz val="11"/>
      <color rgb="FFFF0000"/>
      <name val="Book Antiqua"/>
      <family val="1"/>
    </font>
    <font>
      <b/>
      <u/>
      <sz val="11"/>
      <color theme="9" tint="-0.249977111117893"/>
      <name val="Book Antiqua"/>
      <family val="1"/>
    </font>
    <font>
      <b/>
      <sz val="10"/>
      <name val="Book Antiqua"/>
      <family val="1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i/>
      <sz val="8"/>
      <color rgb="FFFF0000"/>
      <name val="Book Antiqua"/>
      <family val="1"/>
    </font>
  </fonts>
  <fills count="1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00B0F0"/>
        <bgColor indexed="64"/>
      </patternFill>
    </fill>
    <fill>
      <patternFill patternType="lightGray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double">
        <color theme="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0" borderId="0"/>
    <xf numFmtId="0" fontId="5" fillId="0" borderId="0" applyNumberFormat="0" applyFill="0" applyBorder="0" applyAlignment="0"/>
    <xf numFmtId="0" fontId="8" fillId="0" borderId="3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4" fontId="10" fillId="0" borderId="0">
      <alignment horizontal="left"/>
    </xf>
    <xf numFmtId="0" fontId="11" fillId="0" borderId="0"/>
    <xf numFmtId="165" fontId="8" fillId="5" borderId="0">
      <alignment horizontal="left"/>
      <protection locked="0"/>
    </xf>
    <xf numFmtId="166" fontId="8" fillId="5" borderId="0">
      <alignment horizontal="right"/>
      <protection locked="0"/>
    </xf>
    <xf numFmtId="0" fontId="12" fillId="0" borderId="0" applyNumberFormat="0" applyFill="0" applyBorder="0" applyAlignment="0"/>
    <xf numFmtId="0" fontId="13" fillId="0" borderId="4" applyNumberFormat="0" applyFill="0" applyBorder="0" applyAlignment="0"/>
    <xf numFmtId="165" fontId="9" fillId="6" borderId="5" applyNumberFormat="0" applyFont="0" applyBorder="0" applyAlignment="0">
      <alignment horizontal="right"/>
      <protection locked="0"/>
    </xf>
    <xf numFmtId="166" fontId="9" fillId="6" borderId="0" applyFont="0" applyBorder="0" applyAlignment="0">
      <protection locked="0"/>
    </xf>
    <xf numFmtId="165" fontId="8" fillId="7" borderId="0" applyBorder="0" applyAlignment="0">
      <alignment horizontal="right"/>
      <protection locked="0"/>
    </xf>
    <xf numFmtId="10" fontId="8" fillId="7" borderId="0" applyBorder="0">
      <alignment horizontal="right"/>
      <protection locked="0"/>
    </xf>
    <xf numFmtId="165" fontId="9" fillId="7" borderId="0" applyFont="0" applyBorder="0" applyAlignment="0">
      <alignment horizontal="right"/>
      <protection locked="0"/>
    </xf>
    <xf numFmtId="10" fontId="9" fillId="7" borderId="0" applyFont="0" applyBorder="0">
      <alignment horizontal="right"/>
      <protection locked="0"/>
    </xf>
    <xf numFmtId="3" fontId="14" fillId="0" borderId="0">
      <protection locked="0"/>
    </xf>
    <xf numFmtId="166" fontId="14" fillId="0" borderId="0">
      <protection locked="0"/>
    </xf>
    <xf numFmtId="165" fontId="9" fillId="8" borderId="0" applyFont="0" applyBorder="0">
      <alignment horizontal="right"/>
      <protection locked="0"/>
    </xf>
    <xf numFmtId="165" fontId="15" fillId="9" borderId="0"/>
    <xf numFmtId="165" fontId="16" fillId="0" borderId="6" applyBorder="0" applyProtection="0"/>
    <xf numFmtId="0" fontId="1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10" borderId="0" applyNumberFormat="0" applyAlignment="0"/>
    <xf numFmtId="0" fontId="18" fillId="11" borderId="0">
      <alignment horizontal="center" wrapText="1"/>
    </xf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6" borderId="5" applyNumberFormat="0" applyFont="0" applyBorder="0" applyAlignment="0">
      <alignment horizontal="right"/>
      <protection locked="0"/>
    </xf>
    <xf numFmtId="166" fontId="4" fillId="6" borderId="0" applyFont="0" applyBorder="0" applyAlignment="0">
      <protection locked="0"/>
    </xf>
    <xf numFmtId="165" fontId="4" fillId="7" borderId="0" applyFont="0" applyBorder="0" applyAlignment="0">
      <alignment horizontal="right"/>
      <protection locked="0"/>
    </xf>
    <xf numFmtId="10" fontId="4" fillId="7" borderId="0" applyFont="0" applyBorder="0">
      <alignment horizontal="right"/>
      <protection locked="0"/>
    </xf>
    <xf numFmtId="165" fontId="4" fillId="8" borderId="0" applyFont="0" applyBorder="0">
      <alignment horizontal="righ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74">
    <xf numFmtId="0" fontId="0" fillId="0" borderId="0" xfId="0"/>
    <xf numFmtId="0" fontId="5" fillId="0" borderId="0" xfId="6"/>
    <xf numFmtId="0" fontId="4" fillId="4" borderId="0" xfId="5" applyFill="1"/>
    <xf numFmtId="0" fontId="6" fillId="4" borderId="0" xfId="5" applyFont="1" applyFill="1"/>
    <xf numFmtId="0" fontId="6" fillId="4" borderId="0" xfId="5" applyFont="1" applyFill="1" applyAlignment="1">
      <alignment horizontal="left" indent="2"/>
    </xf>
    <xf numFmtId="0" fontId="7" fillId="4" borderId="0" xfId="5" applyFont="1" applyFill="1"/>
    <xf numFmtId="0" fontId="19" fillId="4" borderId="0" xfId="5" applyFont="1" applyFill="1"/>
    <xf numFmtId="0" fontId="7" fillId="4" borderId="0" xfId="5" applyFont="1" applyFill="1" applyAlignment="1">
      <alignment horizontal="left" indent="3"/>
    </xf>
    <xf numFmtId="0" fontId="20" fillId="0" borderId="0" xfId="0" applyFont="1"/>
    <xf numFmtId="43" fontId="0" fillId="0" borderId="0" xfId="0" applyNumberFormat="1"/>
    <xf numFmtId="167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8" xfId="0" applyBorder="1"/>
    <xf numFmtId="43" fontId="0" fillId="0" borderId="0" xfId="1" applyFont="1"/>
    <xf numFmtId="168" fontId="0" fillId="0" borderId="0" xfId="1" applyNumberFormat="1" applyFont="1"/>
    <xf numFmtId="0" fontId="0" fillId="0" borderId="8" xfId="0" applyBorder="1" applyAlignment="1">
      <alignment horizontal="left" indent="1"/>
    </xf>
    <xf numFmtId="0" fontId="23" fillId="0" borderId="0" xfId="6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left" indent="1"/>
    </xf>
    <xf numFmtId="0" fontId="24" fillId="0" borderId="8" xfId="0" applyFont="1" applyBorder="1"/>
    <xf numFmtId="0" fontId="26" fillId="0" borderId="0" xfId="6" applyFont="1"/>
    <xf numFmtId="0" fontId="21" fillId="4" borderId="0" xfId="5" applyFont="1" applyFill="1"/>
    <xf numFmtId="0" fontId="29" fillId="4" borderId="0" xfId="5" applyFont="1" applyFill="1" applyAlignment="1">
      <alignment horizontal="left" indent="3"/>
    </xf>
    <xf numFmtId="0" fontId="29" fillId="4" borderId="0" xfId="5" applyFont="1" applyFill="1"/>
    <xf numFmtId="0" fontId="30" fillId="4" borderId="0" xfId="5" applyFont="1" applyFill="1" applyAlignment="1">
      <alignment horizontal="left" indent="2"/>
    </xf>
    <xf numFmtId="0" fontId="30" fillId="4" borderId="0" xfId="5" applyFont="1" applyFill="1"/>
    <xf numFmtId="0" fontId="31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8" fontId="24" fillId="0" borderId="0" xfId="1" applyNumberFormat="1" applyFont="1"/>
    <xf numFmtId="43" fontId="24" fillId="0" borderId="0" xfId="1" applyFont="1"/>
    <xf numFmtId="167" fontId="24" fillId="0" borderId="0" xfId="1" applyNumberFormat="1" applyFont="1"/>
    <xf numFmtId="0" fontId="33" fillId="0" borderId="0" xfId="0" applyFont="1"/>
    <xf numFmtId="0" fontId="34" fillId="0" borderId="0" xfId="6" applyFont="1"/>
    <xf numFmtId="0" fontId="22" fillId="0" borderId="0" xfId="5" applyFont="1"/>
    <xf numFmtId="0" fontId="30" fillId="4" borderId="0" xfId="6" applyFont="1" applyFill="1"/>
    <xf numFmtId="0" fontId="35" fillId="4" borderId="0" xfId="5" applyFont="1" applyFill="1"/>
    <xf numFmtId="0" fontId="36" fillId="0" borderId="0" xfId="5" applyFont="1"/>
    <xf numFmtId="0" fontId="22" fillId="0" borderId="0" xfId="5" applyFont="1" applyFill="1"/>
    <xf numFmtId="0" fontId="22" fillId="0" borderId="0" xfId="5" applyFont="1" applyAlignment="1">
      <alignment horizontal="left" indent="1"/>
    </xf>
    <xf numFmtId="170" fontId="22" fillId="0" borderId="0" xfId="5" applyNumberFormat="1" applyFont="1"/>
    <xf numFmtId="0" fontId="37" fillId="0" borderId="0" xfId="5" applyFont="1"/>
    <xf numFmtId="173" fontId="22" fillId="0" borderId="0" xfId="5" applyNumberFormat="1" applyFont="1"/>
    <xf numFmtId="0" fontId="22" fillId="0" borderId="0" xfId="5" quotePrefix="1" applyFont="1"/>
    <xf numFmtId="43" fontId="22" fillId="0" borderId="0" xfId="5" applyNumberFormat="1" applyFont="1"/>
    <xf numFmtId="0" fontId="26" fillId="0" borderId="0" xfId="5" applyFont="1"/>
    <xf numFmtId="170" fontId="37" fillId="0" borderId="0" xfId="1" applyNumberFormat="1" applyFont="1"/>
    <xf numFmtId="173" fontId="37" fillId="0" borderId="0" xfId="5" applyNumberFormat="1" applyFont="1"/>
    <xf numFmtId="170" fontId="22" fillId="0" borderId="0" xfId="1" applyNumberFormat="1" applyFont="1"/>
    <xf numFmtId="1" fontId="22" fillId="0" borderId="0" xfId="5" applyNumberFormat="1" applyFont="1"/>
    <xf numFmtId="0" fontId="22" fillId="0" borderId="0" xfId="33" applyFont="1"/>
    <xf numFmtId="0" fontId="22" fillId="0" borderId="0" xfId="5" applyFont="1" applyFill="1" applyBorder="1"/>
    <xf numFmtId="1" fontId="22" fillId="0" borderId="0" xfId="33" applyNumberFormat="1" applyFont="1" applyBorder="1"/>
    <xf numFmtId="0" fontId="38" fillId="0" borderId="0" xfId="5" applyFont="1"/>
    <xf numFmtId="0" fontId="27" fillId="0" borderId="0" xfId="3" applyFont="1" applyFill="1" applyBorder="1"/>
    <xf numFmtId="8" fontId="22" fillId="0" borderId="0" xfId="5" applyNumberFormat="1" applyFont="1" applyBorder="1"/>
    <xf numFmtId="2" fontId="22" fillId="0" borderId="0" xfId="5" applyNumberFormat="1" applyFont="1"/>
    <xf numFmtId="43" fontId="22" fillId="0" borderId="0" xfId="5" applyNumberFormat="1" applyFont="1" applyAlignment="1">
      <alignment horizontal="left" indent="1"/>
    </xf>
    <xf numFmtId="3" fontId="22" fillId="0" borderId="0" xfId="5" applyNumberFormat="1" applyFont="1" applyBorder="1"/>
    <xf numFmtId="172" fontId="22" fillId="0" borderId="4" xfId="1" applyNumberFormat="1" applyFont="1" applyBorder="1"/>
    <xf numFmtId="172" fontId="22" fillId="0" borderId="9" xfId="1" applyNumberFormat="1" applyFont="1" applyBorder="1"/>
    <xf numFmtId="172" fontId="22" fillId="0" borderId="10" xfId="1" applyNumberFormat="1" applyFont="1" applyBorder="1"/>
    <xf numFmtId="172" fontId="22" fillId="0" borderId="0" xfId="1" applyNumberFormat="1" applyFont="1" applyBorder="1"/>
    <xf numFmtId="43" fontId="22" fillId="0" borderId="0" xfId="5" applyNumberFormat="1" applyFont="1" applyAlignment="1">
      <alignment horizontal="left"/>
    </xf>
    <xf numFmtId="0" fontId="22" fillId="0" borderId="0" xfId="5" applyFont="1" applyBorder="1"/>
    <xf numFmtId="0" fontId="21" fillId="0" borderId="0" xfId="5" applyFont="1"/>
    <xf numFmtId="0" fontId="29" fillId="4" borderId="0" xfId="5" applyFont="1" applyFill="1" applyAlignment="1"/>
    <xf numFmtId="0" fontId="39" fillId="0" borderId="0" xfId="6" applyFont="1"/>
    <xf numFmtId="2" fontId="21" fillId="0" borderId="0" xfId="5" applyNumberFormat="1" applyFont="1"/>
    <xf numFmtId="0" fontId="29" fillId="4" borderId="0" xfId="5" applyFont="1" applyFill="1" applyAlignment="1">
      <alignment horizontal="left" indent="2"/>
    </xf>
    <xf numFmtId="14" fontId="24" fillId="0" borderId="0" xfId="0" applyNumberFormat="1" applyFont="1"/>
    <xf numFmtId="43" fontId="37" fillId="0" borderId="0" xfId="5" applyNumberFormat="1" applyFont="1"/>
    <xf numFmtId="169" fontId="22" fillId="0" borderId="0" xfId="1" applyNumberFormat="1" applyFont="1" applyFill="1"/>
    <xf numFmtId="0" fontId="37" fillId="0" borderId="0" xfId="5" applyFont="1" applyFill="1"/>
    <xf numFmtId="167" fontId="37" fillId="0" borderId="0" xfId="5" applyNumberFormat="1" applyFont="1" applyFill="1"/>
    <xf numFmtId="167" fontId="22" fillId="0" borderId="0" xfId="5" applyNumberFormat="1" applyFont="1" applyFill="1"/>
    <xf numFmtId="0" fontId="22" fillId="12" borderId="7" xfId="5" applyFont="1" applyFill="1" applyBorder="1"/>
    <xf numFmtId="0" fontId="28" fillId="13" borderId="11" xfId="4" applyFont="1" applyFill="1" applyBorder="1"/>
    <xf numFmtId="8" fontId="22" fillId="14" borderId="12" xfId="3" applyNumberFormat="1" applyFont="1" applyFill="1" applyBorder="1"/>
    <xf numFmtId="170" fontId="22" fillId="12" borderId="7" xfId="1" applyNumberFormat="1" applyFont="1" applyFill="1" applyBorder="1"/>
    <xf numFmtId="43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NumberFormat="1" applyFont="1" applyFill="1" applyBorder="1"/>
    <xf numFmtId="171" fontId="28" fillId="15" borderId="13" xfId="1" applyNumberFormat="1" applyFont="1" applyFill="1" applyBorder="1"/>
    <xf numFmtId="0" fontId="22" fillId="12" borderId="14" xfId="5" applyFont="1" applyFill="1" applyBorder="1"/>
    <xf numFmtId="0" fontId="28" fillId="15" borderId="13" xfId="4" applyFont="1" applyFill="1" applyBorder="1"/>
    <xf numFmtId="0" fontId="22" fillId="0" borderId="0" xfId="5" applyNumberFormat="1" applyFont="1" applyAlignment="1">
      <alignment horizontal="left" indent="1"/>
    </xf>
    <xf numFmtId="0" fontId="40" fillId="0" borderId="0" xfId="0" applyFont="1"/>
    <xf numFmtId="171" fontId="0" fillId="0" borderId="0" xfId="0" applyNumberFormat="1"/>
    <xf numFmtId="171" fontId="0" fillId="0" borderId="0" xfId="2" applyNumberFormat="1" applyFont="1"/>
    <xf numFmtId="0" fontId="41" fillId="0" borderId="0" xfId="6" applyFont="1"/>
    <xf numFmtId="0" fontId="28" fillId="13" borderId="15" xfId="4" applyFont="1" applyFill="1" applyBorder="1"/>
    <xf numFmtId="0" fontId="38" fillId="0" borderId="0" xfId="5" applyNumberFormat="1" applyFont="1"/>
    <xf numFmtId="0" fontId="22" fillId="0" borderId="0" xfId="5" applyNumberFormat="1" applyFont="1" applyAlignment="1"/>
    <xf numFmtId="0" fontId="22" fillId="0" borderId="0" xfId="5" applyNumberFormat="1" applyFont="1" applyAlignment="1">
      <alignment horizontal="left"/>
    </xf>
    <xf numFmtId="0" fontId="38" fillId="0" borderId="0" xfId="5" applyNumberFormat="1" applyFont="1" applyAlignment="1"/>
    <xf numFmtId="0" fontId="24" fillId="0" borderId="0" xfId="0" applyFont="1"/>
    <xf numFmtId="0" fontId="21" fillId="4" borderId="0" xfId="5" applyFont="1" applyFill="1"/>
    <xf numFmtId="0" fontId="29" fillId="4" borderId="0" xfId="5" applyFont="1" applyFill="1"/>
    <xf numFmtId="0" fontId="30" fillId="4" borderId="0" xfId="5" applyFont="1" applyFill="1"/>
    <xf numFmtId="0" fontId="32" fillId="4" borderId="0" xfId="5" applyFont="1" applyFill="1"/>
    <xf numFmtId="43" fontId="24" fillId="0" borderId="0" xfId="0" applyNumberFormat="1" applyFont="1"/>
    <xf numFmtId="167" fontId="24" fillId="0" borderId="0" xfId="1" applyNumberFormat="1" applyFont="1"/>
    <xf numFmtId="0" fontId="22" fillId="0" borderId="0" xfId="5" applyFont="1"/>
    <xf numFmtId="8" fontId="22" fillId="14" borderId="12" xfId="3" applyNumberFormat="1" applyFont="1" applyFill="1" applyBorder="1"/>
    <xf numFmtId="170" fontId="22" fillId="12" borderId="7" xfId="1" applyNumberFormat="1" applyFont="1" applyFill="1" applyBorder="1"/>
    <xf numFmtId="167" fontId="22" fillId="12" borderId="7" xfId="1" applyNumberFormat="1" applyFont="1" applyFill="1" applyBorder="1"/>
    <xf numFmtId="9" fontId="22" fillId="12" borderId="7" xfId="2" applyFont="1" applyFill="1" applyBorder="1"/>
    <xf numFmtId="0" fontId="26" fillId="0" borderId="0" xfId="61" applyFont="1"/>
    <xf numFmtId="2" fontId="22" fillId="12" borderId="7" xfId="5" applyNumberFormat="1" applyFont="1" applyFill="1" applyBorder="1"/>
    <xf numFmtId="8" fontId="0" fillId="0" borderId="0" xfId="0" applyNumberFormat="1"/>
    <xf numFmtId="0" fontId="22" fillId="0" borderId="0" xfId="61" applyFont="1"/>
    <xf numFmtId="0" fontId="38" fillId="0" borderId="0" xfId="61" applyFont="1"/>
    <xf numFmtId="0" fontId="22" fillId="0" borderId="0" xfId="61" applyFont="1" applyFill="1" applyBorder="1"/>
    <xf numFmtId="1" fontId="22" fillId="0" borderId="0" xfId="61" applyNumberFormat="1" applyFont="1" applyFill="1" applyBorder="1"/>
    <xf numFmtId="1" fontId="22" fillId="0" borderId="0" xfId="61" applyNumberFormat="1" applyFont="1" applyBorder="1"/>
    <xf numFmtId="0" fontId="26" fillId="0" borderId="0" xfId="61" applyFont="1" applyAlignment="1">
      <alignment wrapText="1"/>
    </xf>
    <xf numFmtId="174" fontId="22" fillId="12" borderId="7" xfId="1" applyNumberFormat="1" applyFont="1" applyFill="1" applyBorder="1"/>
    <xf numFmtId="2" fontId="22" fillId="12" borderId="7" xfId="1" applyNumberFormat="1" applyFont="1" applyFill="1" applyBorder="1"/>
    <xf numFmtId="0" fontId="22" fillId="14" borderId="12" xfId="3" applyNumberFormat="1" applyFont="1" applyFill="1" applyBorder="1"/>
    <xf numFmtId="43" fontId="22" fillId="0" borderId="0" xfId="1" applyFont="1"/>
    <xf numFmtId="0" fontId="29" fillId="4" borderId="0" xfId="5" applyNumberFormat="1" applyFont="1" applyFill="1"/>
    <xf numFmtId="0" fontId="26" fillId="0" borderId="0" xfId="61" applyFont="1" applyFill="1"/>
    <xf numFmtId="43" fontId="21" fillId="0" borderId="0" xfId="5" applyNumberFormat="1" applyFont="1"/>
    <xf numFmtId="175" fontId="22" fillId="0" borderId="0" xfId="5" applyNumberFormat="1" applyFont="1"/>
    <xf numFmtId="10" fontId="22" fillId="12" borderId="14" xfId="2" applyNumberFormat="1" applyFont="1" applyFill="1" applyBorder="1"/>
    <xf numFmtId="10" fontId="22" fillId="12" borderId="7" xfId="2" applyNumberFormat="1" applyFont="1" applyFill="1" applyBorder="1"/>
    <xf numFmtId="0" fontId="28" fillId="13" borderId="19" xfId="4" applyFont="1" applyFill="1" applyBorder="1"/>
    <xf numFmtId="172" fontId="37" fillId="0" borderId="10" xfId="1" applyNumberFormat="1" applyFont="1" applyBorder="1"/>
    <xf numFmtId="172" fontId="37" fillId="0" borderId="0" xfId="1" applyNumberFormat="1" applyFont="1" applyBorder="1"/>
    <xf numFmtId="172" fontId="37" fillId="0" borderId="4" xfId="1" applyNumberFormat="1" applyFont="1" applyBorder="1"/>
    <xf numFmtId="172" fontId="37" fillId="0" borderId="9" xfId="1" applyNumberFormat="1" applyFont="1" applyBorder="1"/>
    <xf numFmtId="0" fontId="42" fillId="0" borderId="0" xfId="0" applyFont="1"/>
    <xf numFmtId="167" fontId="42" fillId="0" borderId="0" xfId="1" applyNumberFormat="1" applyFont="1"/>
    <xf numFmtId="8" fontId="22" fillId="14" borderId="12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 applyProtection="1">
      <alignment horizontal="left" indent="1"/>
      <protection locked="0"/>
    </xf>
    <xf numFmtId="0" fontId="22" fillId="14" borderId="12" xfId="3" applyFont="1" applyFill="1" applyBorder="1" applyProtection="1">
      <protection locked="0"/>
    </xf>
    <xf numFmtId="167" fontId="22" fillId="14" borderId="12" xfId="1" applyNumberFormat="1" applyFont="1" applyFill="1" applyBorder="1" applyProtection="1">
      <protection locked="0"/>
    </xf>
    <xf numFmtId="1" fontId="22" fillId="14" borderId="12" xfId="3" applyNumberFormat="1" applyFont="1" applyFill="1" applyBorder="1" applyProtection="1">
      <protection locked="0"/>
    </xf>
    <xf numFmtId="3" fontId="22" fillId="14" borderId="12" xfId="3" applyNumberFormat="1" applyFont="1" applyFill="1" applyBorder="1" applyProtection="1">
      <protection locked="0"/>
    </xf>
    <xf numFmtId="44" fontId="22" fillId="14" borderId="12" xfId="3" applyNumberFormat="1" applyFont="1" applyFill="1" applyBorder="1" applyProtection="1">
      <protection locked="0"/>
    </xf>
    <xf numFmtId="2" fontId="22" fillId="12" borderId="7" xfId="5" applyNumberFormat="1" applyFont="1" applyFill="1" applyBorder="1" applyProtection="1">
      <protection locked="0"/>
    </xf>
    <xf numFmtId="173" fontId="22" fillId="12" borderId="7" xfId="5" applyNumberFormat="1" applyFont="1" applyFill="1" applyBorder="1" applyProtection="1">
      <protection locked="0"/>
    </xf>
    <xf numFmtId="173" fontId="22" fillId="12" borderId="14" xfId="5" applyNumberFormat="1" applyFont="1" applyFill="1" applyBorder="1" applyProtection="1">
      <protection locked="0"/>
    </xf>
    <xf numFmtId="0" fontId="22" fillId="14" borderId="12" xfId="3" applyNumberFormat="1" applyFont="1" applyFill="1" applyBorder="1" applyProtection="1">
      <protection locked="0"/>
    </xf>
    <xf numFmtId="2" fontId="22" fillId="14" borderId="12" xfId="1" applyNumberFormat="1" applyFont="1" applyFill="1" applyBorder="1" applyProtection="1">
      <protection locked="0"/>
    </xf>
    <xf numFmtId="0" fontId="22" fillId="0" borderId="0" xfId="61" applyFont="1" applyProtection="1">
      <protection locked="0"/>
    </xf>
    <xf numFmtId="166" fontId="22" fillId="14" borderId="12" xfId="2" applyNumberFormat="1" applyFont="1" applyFill="1" applyBorder="1" applyProtection="1">
      <protection locked="0"/>
    </xf>
    <xf numFmtId="9" fontId="22" fillId="14" borderId="12" xfId="2" applyFont="1" applyFill="1" applyBorder="1" applyProtection="1">
      <protection locked="0"/>
    </xf>
    <xf numFmtId="10" fontId="22" fillId="14" borderId="12" xfId="2" applyNumberFormat="1" applyFont="1" applyFill="1" applyBorder="1" applyProtection="1">
      <protection locked="0"/>
    </xf>
    <xf numFmtId="8" fontId="22" fillId="14" borderId="12" xfId="3" quotePrefix="1" applyNumberFormat="1" applyFont="1" applyFill="1" applyBorder="1" applyProtection="1">
      <protection locked="0"/>
    </xf>
    <xf numFmtId="173" fontId="22" fillId="14" borderId="12" xfId="3" applyNumberFormat="1" applyFont="1" applyFill="1" applyBorder="1" applyProtection="1">
      <protection locked="0"/>
    </xf>
    <xf numFmtId="10" fontId="22" fillId="14" borderId="12" xfId="3" applyNumberFormat="1" applyFont="1" applyFill="1" applyBorder="1" applyProtection="1">
      <protection locked="0"/>
    </xf>
    <xf numFmtId="1" fontId="22" fillId="14" borderId="20" xfId="3" applyNumberFormat="1" applyFont="1" applyFill="1" applyBorder="1" applyProtection="1">
      <protection locked="0"/>
    </xf>
    <xf numFmtId="1" fontId="22" fillId="17" borderId="7" xfId="3" applyNumberFormat="1" applyFont="1" applyFill="1" applyBorder="1" applyProtection="1">
      <protection locked="0"/>
    </xf>
    <xf numFmtId="43" fontId="22" fillId="14" borderId="12" xfId="3" applyNumberFormat="1" applyFont="1" applyFill="1" applyBorder="1" applyAlignment="1">
      <alignment horizontal="left" indent="1"/>
    </xf>
    <xf numFmtId="2" fontId="22" fillId="14" borderId="12" xfId="3" applyNumberFormat="1" applyFont="1" applyFill="1" applyBorder="1" applyAlignment="1">
      <alignment horizontal="left" indent="1"/>
    </xf>
    <xf numFmtId="2" fontId="37" fillId="14" borderId="12" xfId="3" applyNumberFormat="1" applyFont="1" applyFill="1" applyBorder="1" applyAlignment="1">
      <alignment horizontal="left" indent="1"/>
    </xf>
    <xf numFmtId="176" fontId="37" fillId="14" borderId="12" xfId="3" applyNumberFormat="1" applyFont="1" applyFill="1" applyBorder="1" applyAlignment="1">
      <alignment horizontal="left" indent="1"/>
    </xf>
    <xf numFmtId="2" fontId="22" fillId="14" borderId="20" xfId="3" applyNumberFormat="1" applyFont="1" applyFill="1" applyBorder="1" applyAlignment="1">
      <alignment horizontal="left" indent="1"/>
    </xf>
    <xf numFmtId="43" fontId="22" fillId="14" borderId="22" xfId="3" applyNumberFormat="1" applyFont="1" applyFill="1" applyBorder="1" applyAlignment="1" applyProtection="1">
      <alignment horizontal="left" indent="1"/>
      <protection locked="0"/>
    </xf>
    <xf numFmtId="2" fontId="22" fillId="14" borderId="12" xfId="3" applyNumberFormat="1" applyFont="1" applyFill="1" applyBorder="1" applyAlignment="1"/>
    <xf numFmtId="43" fontId="22" fillId="14" borderId="12" xfId="3" applyNumberFormat="1" applyFont="1" applyFill="1" applyBorder="1" applyAlignment="1" applyProtection="1">
      <protection locked="0"/>
    </xf>
    <xf numFmtId="43" fontId="22" fillId="14" borderId="21" xfId="3" applyNumberFormat="1" applyFont="1" applyFill="1" applyBorder="1" applyAlignment="1" applyProtection="1">
      <protection locked="0"/>
    </xf>
    <xf numFmtId="43" fontId="22" fillId="14" borderId="22" xfId="3" applyNumberFormat="1" applyFont="1" applyFill="1" applyBorder="1" applyAlignment="1" applyProtection="1">
      <protection locked="0"/>
    </xf>
    <xf numFmtId="172" fontId="22" fillId="12" borderId="7" xfId="1" applyNumberFormat="1" applyFont="1" applyFill="1" applyBorder="1"/>
    <xf numFmtId="2" fontId="22" fillId="14" borderId="12" xfId="1" applyNumberFormat="1" applyFont="1" applyFill="1" applyBorder="1"/>
    <xf numFmtId="0" fontId="22" fillId="16" borderId="16" xfId="5" applyFont="1" applyFill="1" applyBorder="1" applyAlignment="1">
      <alignment horizontal="left"/>
    </xf>
    <xf numFmtId="0" fontId="22" fillId="16" borderId="17" xfId="5" applyFont="1" applyFill="1" applyBorder="1" applyAlignment="1">
      <alignment horizontal="left"/>
    </xf>
    <xf numFmtId="0" fontId="22" fillId="16" borderId="18" xfId="5" applyFont="1" applyFill="1" applyBorder="1" applyAlignment="1">
      <alignment horizontal="left"/>
    </xf>
    <xf numFmtId="0" fontId="22" fillId="16" borderId="16" xfId="5" applyFont="1" applyFill="1" applyBorder="1" applyAlignment="1">
      <alignment horizontal="left" wrapText="1"/>
    </xf>
    <xf numFmtId="0" fontId="22" fillId="16" borderId="17" xfId="5" applyFont="1" applyFill="1" applyBorder="1" applyAlignment="1">
      <alignment horizontal="left" wrapText="1"/>
    </xf>
    <xf numFmtId="0" fontId="22" fillId="16" borderId="18" xfId="5" applyFont="1" applyFill="1" applyBorder="1" applyAlignment="1">
      <alignment horizontal="left" wrapText="1"/>
    </xf>
  </cellXfs>
  <cellStyles count="67">
    <cellStyle name="Change in Formula" xfId="7"/>
    <cellStyle name="Comma" xfId="1" builtinId="3"/>
    <cellStyle name="Comma 2" xfId="8"/>
    <cellStyle name="Comma 2 2" xfId="9"/>
    <cellStyle name="Comma 2 3" xfId="10"/>
    <cellStyle name="Comma 2 3 2" xfId="52"/>
    <cellStyle name="Comma 3" xfId="11"/>
    <cellStyle name="Comma 4" xfId="12"/>
    <cellStyle name="Comma 4 2" xfId="53"/>
    <cellStyle name="Currency 2" xfId="13"/>
    <cellStyle name="Currency 2 2" xfId="54"/>
    <cellStyle name="Error checks" xfId="14"/>
    <cellStyle name="Error Warning" xfId="15"/>
    <cellStyle name="Forecast Input" xfId="16"/>
    <cellStyle name="Forecast Input%" xfId="17"/>
    <cellStyle name="Heading1" xfId="18"/>
    <cellStyle name="Heading2" xfId="6"/>
    <cellStyle name="Heading3" xfId="19"/>
    <cellStyle name="Info Input #" xfId="20"/>
    <cellStyle name="Info Input # 2" xfId="55"/>
    <cellStyle name="Info Input %" xfId="21"/>
    <cellStyle name="Info Input % 2" xfId="56"/>
    <cellStyle name="Input" xfId="3" builtinId="20"/>
    <cellStyle name="Input #" xfId="22"/>
    <cellStyle name="Input %" xfId="23"/>
    <cellStyle name="Input1" xfId="24"/>
    <cellStyle name="Input1 2" xfId="57"/>
    <cellStyle name="Input1%" xfId="25"/>
    <cellStyle name="Input1% 2" xfId="58"/>
    <cellStyle name="Input2 #" xfId="26"/>
    <cellStyle name="Input2 %" xfId="27"/>
    <cellStyle name="Input3" xfId="28"/>
    <cellStyle name="Input3 2" xfId="59"/>
    <cellStyle name="Key Outputs" xfId="29"/>
    <cellStyle name="Key Outputs 2" xfId="30"/>
    <cellStyle name="Links from other files (green) style" xfId="31"/>
    <cellStyle name="Normal" xfId="0" builtinId="0"/>
    <cellStyle name="Normal 10" xfId="32"/>
    <cellStyle name="Normal 10 2" xfId="60"/>
    <cellStyle name="Normal 2" xfId="5"/>
    <cellStyle name="Normal 2 2" xfId="33"/>
    <cellStyle name="Normal 2 2 2" xfId="61"/>
    <cellStyle name="Normal 2_2012 AER data 2hh" xfId="34"/>
    <cellStyle name="Normal 3" xfId="35"/>
    <cellStyle name="Normal 3 2" xfId="36"/>
    <cellStyle name="Normal 3_2012 AER data 2hh" xfId="37"/>
    <cellStyle name="Normal 4" xfId="38"/>
    <cellStyle name="Normal 5" xfId="39"/>
    <cellStyle name="Normal 5 2" xfId="62"/>
    <cellStyle name="Normal 6" xfId="40"/>
    <cellStyle name="Normal 6 2" xfId="63"/>
    <cellStyle name="Normal 7" xfId="41"/>
    <cellStyle name="Normal 8" xfId="42"/>
    <cellStyle name="Normal 9" xfId="43"/>
    <cellStyle name="Output" xfId="4" builtinId="21"/>
    <cellStyle name="Percent" xfId="2" builtinId="5"/>
    <cellStyle name="Percent 2" xfId="44"/>
    <cellStyle name="Percent 2 2" xfId="45"/>
    <cellStyle name="Percent 3" xfId="46"/>
    <cellStyle name="Percent 4" xfId="47"/>
    <cellStyle name="Percent 4 2" xfId="64"/>
    <cellStyle name="Percent 5" xfId="48"/>
    <cellStyle name="Percent 5 2" xfId="65"/>
    <cellStyle name="QA Notes" xfId="49"/>
    <cellStyle name="Report Heading" xfId="50"/>
    <cellStyle name="Style 1" xfId="51"/>
    <cellStyle name="Style 1 2" xfId="6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9" name="Picture 8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0" name="Picture 9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1" name="Picture 10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2" name="Picture 1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13" name="Picture 1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7" name="Picture 6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8" name="Picture 7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3" name="Picture 2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4" name="Picture 3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5" name="Picture 4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0</xdr:rowOff>
    </xdr:from>
    <xdr:ext cx="1228724" cy="857250"/>
    <xdr:pic>
      <xdr:nvPicPr>
        <xdr:cNvPr id="6" name="Picture 5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28724" cy="857250"/>
    <xdr:pic>
      <xdr:nvPicPr>
        <xdr:cNvPr id="2" name="Picture 1" descr="AEMC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8724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PR0029%20-%20Pricing%20Trends%20Report%202012%20-%20Modelling/EPR0029%20-%20Models%2013-01-24/EPR0029%202012%20Pricing%20Trends%20-%20model%20-%20NSW%202013-01-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allen/AppData/Local/Microsoft/Windows/Temporary%20Internet%20Files/Content.Outlook/611F7NYC/EPR0029%202012%20Workbook%20NSW%20100920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 Global"/>
      <sheetName val="Input Frontier"/>
      <sheetName val="Input General"/>
      <sheetName val="Calc (Jurisdiction)"/>
      <sheetName val="Calc (LRMC Planning case)"/>
      <sheetName val="Calc (LRMC Slow Rate)"/>
      <sheetName val="Calc (Market Planning Case)"/>
      <sheetName val="Calc (Market Slow Rate)"/>
      <sheetName val="Output"/>
      <sheetName val="Graphs"/>
      <sheetName val="Tables for document"/>
    </sheetNames>
    <sheetDataSet>
      <sheetData sheetId="0"/>
      <sheetData sheetId="1">
        <row r="15">
          <cell r="E15">
            <v>2.5000000000000001E-2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W workbook"/>
      <sheetName val="2012 Notes"/>
      <sheetName val="2012 AER RAW NSW"/>
      <sheetName val="2012 AER Worked NSW"/>
      <sheetName val="NSW Network Input"/>
      <sheetName val="NSW Retail Input"/>
      <sheetName val="2012 NSW output"/>
      <sheetName val="discarded&gt;&gt;"/>
      <sheetName val="2012 IPART inputs"/>
      <sheetName val="Sheet3"/>
      <sheetName val="Global Inpu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5.3999999999999999E-2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7"/>
  <sheetViews>
    <sheetView topLeftCell="A16" zoomScaleNormal="100" workbookViewId="0">
      <selection activeCell="C33" sqref="C33"/>
    </sheetView>
  </sheetViews>
  <sheetFormatPr defaultColWidth="9.140625" defaultRowHeight="16.5" x14ac:dyDescent="0.3"/>
  <cols>
    <col min="1" max="1" width="21.140625" style="17" customWidth="1"/>
    <col min="2" max="2" width="13.5703125" style="17" customWidth="1"/>
    <col min="3" max="3" width="12.7109375" style="17" bestFit="1" customWidth="1"/>
    <col min="4" max="4" width="32.140625" style="17" bestFit="1" customWidth="1"/>
    <col min="5" max="16384" width="9.140625" style="17"/>
  </cols>
  <sheetData>
    <row r="1" spans="1:7" s="22" customFormat="1" ht="23.25" x14ac:dyDescent="0.35">
      <c r="A1" s="22" t="s">
        <v>7</v>
      </c>
      <c r="B1" s="70" t="str">
        <f ca="1">LEFT(RIGHT(CELL("filename",B2),LEN(CELL("filename",B2))-SEARCH("[",CELL("filename",B2))),SEARCH(".",RIGHT(CELL("filename",B2),LEN(CELL("filename",B2))-SEARCH("[",CELL("filename",B2))))-1)</f>
        <v>2012 Pricing Trends - model - NSW</v>
      </c>
      <c r="C1" s="24"/>
    </row>
    <row r="2" spans="1:7" s="22" customFormat="1" ht="18.75" x14ac:dyDescent="0.3">
      <c r="B2" s="25" t="str">
        <f ca="1">RIGHT(CELL("filename",B2),LEN(CELL("filename",B2))-SEARCH("]",CELL("filename",B2)))</f>
        <v>Index</v>
      </c>
      <c r="C2" s="26"/>
    </row>
    <row r="3" spans="1:7" s="22" customFormat="1" ht="13.5" x14ac:dyDescent="0.25"/>
    <row r="4" spans="1:7" s="22" customFormat="1" ht="15" x14ac:dyDescent="0.3">
      <c r="B4" s="27"/>
      <c r="C4" s="27"/>
      <c r="D4" s="27"/>
      <c r="E4" s="27"/>
      <c r="F4" s="27"/>
      <c r="G4" s="27"/>
    </row>
    <row r="6" spans="1:7" ht="18.75" x14ac:dyDescent="0.3">
      <c r="A6" s="16" t="s">
        <v>50</v>
      </c>
    </row>
    <row r="7" spans="1:7" x14ac:dyDescent="0.3">
      <c r="A7" s="17" t="s">
        <v>51</v>
      </c>
    </row>
    <row r="8" spans="1:7" x14ac:dyDescent="0.3">
      <c r="A8" s="17" t="s">
        <v>52</v>
      </c>
    </row>
    <row r="9" spans="1:7" x14ac:dyDescent="0.3">
      <c r="A9" s="17" t="s">
        <v>53</v>
      </c>
    </row>
    <row r="10" spans="1:7" x14ac:dyDescent="0.3">
      <c r="A10" s="17" t="s">
        <v>54</v>
      </c>
    </row>
    <row r="11" spans="1:7" x14ac:dyDescent="0.3">
      <c r="A11" s="17" t="s">
        <v>113</v>
      </c>
    </row>
    <row r="12" spans="1:7" x14ac:dyDescent="0.3">
      <c r="A12" s="17" t="s">
        <v>114</v>
      </c>
    </row>
    <row r="15" spans="1:7" ht="18.75" x14ac:dyDescent="0.3">
      <c r="A15" s="16" t="s">
        <v>56</v>
      </c>
      <c r="B15" s="17" t="s">
        <v>57</v>
      </c>
      <c r="C15" s="17" t="s">
        <v>59</v>
      </c>
      <c r="D15" s="17" t="s">
        <v>58</v>
      </c>
    </row>
    <row r="16" spans="1:7" x14ac:dyDescent="0.3">
      <c r="A16" s="17">
        <v>1</v>
      </c>
      <c r="B16" s="17" t="s">
        <v>134</v>
      </c>
      <c r="C16" s="71">
        <v>41165</v>
      </c>
      <c r="D16" s="17" t="s">
        <v>60</v>
      </c>
    </row>
    <row r="20" spans="1:9" ht="19.5" thickBot="1" x14ac:dyDescent="0.35">
      <c r="A20" s="16" t="s">
        <v>55</v>
      </c>
    </row>
    <row r="21" spans="1:9" ht="17.25" thickBot="1" x14ac:dyDescent="0.35">
      <c r="A21" s="168" t="s">
        <v>101</v>
      </c>
      <c r="B21" s="169"/>
      <c r="C21" s="169"/>
      <c r="D21" s="169"/>
      <c r="E21" s="169"/>
      <c r="F21" s="169"/>
      <c r="G21" s="169"/>
      <c r="H21" s="169"/>
      <c r="I21" s="170"/>
    </row>
    <row r="22" spans="1:9" ht="17.25" thickBot="1" x14ac:dyDescent="0.35">
      <c r="A22" s="168" t="s">
        <v>102</v>
      </c>
      <c r="B22" s="169"/>
      <c r="C22" s="169"/>
      <c r="D22" s="169"/>
      <c r="E22" s="169"/>
      <c r="F22" s="169"/>
      <c r="G22" s="169"/>
      <c r="H22" s="169"/>
      <c r="I22" s="170"/>
    </row>
    <row r="23" spans="1:9" ht="17.25" thickBot="1" x14ac:dyDescent="0.35">
      <c r="A23" s="168" t="s">
        <v>150</v>
      </c>
      <c r="B23" s="169"/>
      <c r="C23" s="169"/>
      <c r="D23" s="169"/>
      <c r="E23" s="169"/>
      <c r="F23" s="169"/>
      <c r="G23" s="169"/>
      <c r="H23" s="169"/>
      <c r="I23" s="170"/>
    </row>
    <row r="24" spans="1:9" ht="17.25" thickBot="1" x14ac:dyDescent="0.35">
      <c r="A24" s="168" t="s">
        <v>109</v>
      </c>
      <c r="B24" s="169"/>
      <c r="C24" s="169"/>
      <c r="D24" s="169"/>
      <c r="E24" s="169"/>
      <c r="F24" s="169"/>
      <c r="G24" s="169"/>
      <c r="H24" s="169"/>
      <c r="I24" s="170"/>
    </row>
    <row r="25" spans="1:9" ht="17.25" thickBot="1" x14ac:dyDescent="0.35">
      <c r="A25" s="168" t="s">
        <v>110</v>
      </c>
      <c r="B25" s="169"/>
      <c r="C25" s="169"/>
      <c r="D25" s="169"/>
      <c r="E25" s="169"/>
      <c r="F25" s="169"/>
      <c r="G25" s="169"/>
      <c r="H25" s="169"/>
      <c r="I25" s="170"/>
    </row>
    <row r="26" spans="1:9" ht="33.75" customHeight="1" thickBot="1" x14ac:dyDescent="0.35">
      <c r="A26" s="171" t="s">
        <v>112</v>
      </c>
      <c r="B26" s="172"/>
      <c r="C26" s="172"/>
      <c r="D26" s="172"/>
      <c r="E26" s="172"/>
      <c r="F26" s="172"/>
      <c r="G26" s="172"/>
      <c r="H26" s="172"/>
      <c r="I26" s="173"/>
    </row>
    <row r="27" spans="1:9" ht="35.25" customHeight="1" thickBot="1" x14ac:dyDescent="0.35">
      <c r="A27" s="171" t="s">
        <v>111</v>
      </c>
      <c r="B27" s="172"/>
      <c r="C27" s="172"/>
      <c r="D27" s="172"/>
      <c r="E27" s="172"/>
      <c r="F27" s="172"/>
      <c r="G27" s="172"/>
      <c r="H27" s="172"/>
      <c r="I27" s="173"/>
    </row>
  </sheetData>
  <sheetProtection password="D9A8" sheet="1" objects="1" scenarios="1"/>
  <mergeCells count="7">
    <mergeCell ref="A21:I21"/>
    <mergeCell ref="A22:I22"/>
    <mergeCell ref="A23:I23"/>
    <mergeCell ref="A24:I24"/>
    <mergeCell ref="A25:I25"/>
    <mergeCell ref="A26:I26"/>
    <mergeCell ref="A27:I27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135"/>
  <sheetViews>
    <sheetView tabSelected="1" zoomScaleNormal="100" workbookViewId="0">
      <selection activeCell="G7" sqref="G7"/>
    </sheetView>
  </sheetViews>
  <sheetFormatPr defaultColWidth="9.140625" defaultRowHeight="16.5" x14ac:dyDescent="0.3"/>
  <cols>
    <col min="1" max="1" width="37.28515625" style="17" bestFit="1" customWidth="1"/>
    <col min="2" max="2" width="2.140625" style="17" customWidth="1"/>
    <col min="3" max="3" width="9.140625" style="17"/>
    <col min="4" max="4" width="1.140625" style="17" customWidth="1"/>
    <col min="5" max="8" width="20.7109375" style="97" customWidth="1"/>
    <col min="9" max="9" width="20.7109375" style="17" customWidth="1"/>
    <col min="10" max="10" width="9.140625" style="17"/>
    <col min="11" max="11" width="10.140625" style="17" customWidth="1"/>
    <col min="12" max="16384" width="9.140625" style="17"/>
  </cols>
  <sheetData>
    <row r="1" spans="1:9" s="22" customFormat="1" ht="23.25" x14ac:dyDescent="0.35">
      <c r="A1" s="22" t="s">
        <v>7</v>
      </c>
      <c r="B1" s="24" t="str">
        <f ca="1">'Input Global'!B1</f>
        <v>2012 Pricing Trends - model - NSW</v>
      </c>
      <c r="C1" s="24"/>
      <c r="D1" s="24"/>
      <c r="E1" s="99"/>
      <c r="F1" s="99"/>
      <c r="G1" s="98"/>
      <c r="H1" s="98"/>
      <c r="I1" s="79" t="s">
        <v>37</v>
      </c>
    </row>
    <row r="2" spans="1:9" s="22" customFormat="1" ht="19.5" thickBot="1" x14ac:dyDescent="0.35">
      <c r="B2" s="25" t="str">
        <f ca="1">RIGHT(CELL("filename",B2),LEN(CELL("filename",B2))-SEARCH("]",CELL("filename",B2)))</f>
        <v>Output</v>
      </c>
      <c r="C2" s="26"/>
      <c r="D2" s="26"/>
      <c r="E2" s="100"/>
      <c r="F2" s="100"/>
      <c r="G2" s="98"/>
      <c r="H2" s="98"/>
      <c r="I2" s="85" t="s">
        <v>31</v>
      </c>
    </row>
    <row r="3" spans="1:9" s="22" customFormat="1" ht="17.25" thickBot="1" x14ac:dyDescent="0.35">
      <c r="E3" s="98"/>
      <c r="F3" s="98"/>
      <c r="G3" s="98"/>
      <c r="H3" s="98"/>
      <c r="I3" s="86" t="s">
        <v>38</v>
      </c>
    </row>
    <row r="4" spans="1:9" s="22" customFormat="1" ht="15.75" x14ac:dyDescent="0.3">
      <c r="B4" s="27"/>
      <c r="C4" s="28" t="s">
        <v>14</v>
      </c>
      <c r="D4" s="28"/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9" ht="18.75" x14ac:dyDescent="0.3">
      <c r="A6" s="16" t="s">
        <v>44</v>
      </c>
      <c r="C6" s="16" t="s">
        <v>17</v>
      </c>
    </row>
    <row r="8" spans="1:9" ht="17.25" thickBot="1" x14ac:dyDescent="0.35">
      <c r="A8" s="88" t="str">
        <f ca="1">'Calc (Jurisdiction)'!B2</f>
        <v>Calc (Jurisdiction)</v>
      </c>
      <c r="B8"/>
      <c r="C8"/>
      <c r="D8"/>
      <c r="E8"/>
      <c r="F8"/>
      <c r="G8"/>
      <c r="H8"/>
    </row>
    <row r="9" spans="1:9" ht="17.25" thickBot="1" x14ac:dyDescent="0.35">
      <c r="A9" t="str">
        <f>'Calc (Jurisdiction)'!A8</f>
        <v>Wholesale</v>
      </c>
      <c r="B9"/>
      <c r="C9" t="s">
        <v>71</v>
      </c>
      <c r="D9"/>
      <c r="E9" s="84">
        <f ca="1">IF(LEFT(A8,5)="blank",0,'Calc (Jurisdiction)'!$E$85*'Calc (Jurisdiction)'!$E$160+'Calc (Jurisdiction)'!$E$100*'Calc (Jurisdiction)'!$E$161+'Calc (Jurisdiction)'!$E$115*'Calc (Jurisdiction)'!$E$162+'Calc (Jurisdiction)'!$E$130*'Calc (Jurisdiction)'!$E$163+'Calc (Jurisdiction)'!$E$145*'Calc (Jurisdiction)'!$E$164)</f>
        <v>7.4317900083507746</v>
      </c>
      <c r="F9" s="84">
        <f ca="1">IF(LEFT(A8,5)="blank",0,'Calc (Jurisdiction)'!$F$85*'Calc (Jurisdiction)'!$F$160+'Calc (Jurisdiction)'!$F$100*'Calc (Jurisdiction)'!$F$161+'Calc (Jurisdiction)'!$F$115*'Calc (Jurisdiction)'!$F$162+'Calc (Jurisdiction)'!$F$130*'Calc (Jurisdiction)'!$F$163+'Calc (Jurisdiction)'!$F$145*'Calc (Jurisdiction)'!$F$164)</f>
        <v>7.584943753917111</v>
      </c>
      <c r="G9" s="84">
        <f ca="1">IF(LEFT(A8,5)="blank",0,'Calc (Jurisdiction)'!$G$85*'Calc (Jurisdiction)'!$G$160+'Calc (Jurisdiction)'!$G$100*'Calc (Jurisdiction)'!$G$161+'Calc (Jurisdiction)'!$G$115*'Calc (Jurisdiction)'!$G$162+'Calc (Jurisdiction)'!$G$130*'Calc (Jurisdiction)'!$G$163+'Calc (Jurisdiction)'!$G$145*'Calc (Jurisdiction)'!$G$164)</f>
        <v>7.000595013658609</v>
      </c>
      <c r="H9" s="84">
        <f ca="1">IF(LEFT(A8,5)="blank",0,'Calc (Jurisdiction)'!$H$85*'Calc (Jurisdiction)'!$H$160+'Calc (Jurisdiction)'!$H$100*'Calc (Jurisdiction)'!$H$161+'Calc (Jurisdiction)'!$H$115*'Calc (Jurisdiction)'!$H$162+'Calc (Jurisdiction)'!$H$130*'Calc (Jurisdiction)'!$H$163+'Calc (Jurisdiction)'!$H$145*'Calc (Jurisdiction)'!$H$164)</f>
        <v>7.1285216817187322</v>
      </c>
    </row>
    <row r="10" spans="1:9" ht="17.25" thickBot="1" x14ac:dyDescent="0.35">
      <c r="A10" t="str">
        <f>'Calc (Jurisdiction)'!A9</f>
        <v>Transmission</v>
      </c>
      <c r="B10"/>
      <c r="C10" t="s">
        <v>71</v>
      </c>
      <c r="D10"/>
      <c r="E10" s="84">
        <f ca="1">IF(LEFT(A8,5)="blank",0,'Calc (Jurisdiction)'!$E$86*'Calc (Jurisdiction)'!$E$160+'Calc (Jurisdiction)'!$E$101*'Calc (Jurisdiction)'!$E$161+'Calc (Jurisdiction)'!$E$116*'Calc (Jurisdiction)'!$E$162+'Calc (Jurisdiction)'!$E$131*'Calc (Jurisdiction)'!$E$163+'Calc (Jurisdiction)'!$E$146*'Calc (Jurisdiction)'!$E$164)</f>
        <v>2.1615566278438139</v>
      </c>
      <c r="F10" s="84">
        <f ca="1">IF(LEFT(A8,5)="blank",0,'Calc (Jurisdiction)'!$F$86*'Calc (Jurisdiction)'!$F$160+'Calc (Jurisdiction)'!$F$101*'Calc (Jurisdiction)'!$F$161+'Calc (Jurisdiction)'!$F$116*'Calc (Jurisdiction)'!$F$162+'Calc (Jurisdiction)'!$F$131*'Calc (Jurisdiction)'!$F$163+'Calc (Jurisdiction)'!$F$146*'Calc (Jurisdiction)'!$F$164)</f>
        <v>3.5510793848411084</v>
      </c>
      <c r="G10" s="84">
        <f ca="1">IF(LEFT(A8,5)="blank",0,'Calc (Jurisdiction)'!$G$86*'Calc (Jurisdiction)'!$G$160+'Calc (Jurisdiction)'!$G$101*'Calc (Jurisdiction)'!$G$161+'Calc (Jurisdiction)'!$G$116*'Calc (Jurisdiction)'!$G$162+'Calc (Jurisdiction)'!$G$131*'Calc (Jurisdiction)'!$G$163+'Calc (Jurisdiction)'!$G$146*'Calc (Jurisdiction)'!$G$164)</f>
        <v>3.7984706638230836</v>
      </c>
      <c r="H10" s="84">
        <f ca="1">IF(LEFT(A8,5)="blank",0,'Calc (Jurisdiction)'!$H$86*'Calc (Jurisdiction)'!$H$160+'Calc (Jurisdiction)'!$H$101*'Calc (Jurisdiction)'!$H$161+'Calc (Jurisdiction)'!$H$116*'Calc (Jurisdiction)'!$H$162+'Calc (Jurisdiction)'!$H$131*'Calc (Jurisdiction)'!$H$163+'Calc (Jurisdiction)'!$H$146*'Calc (Jurisdiction)'!$H$164)</f>
        <v>4.0630968278311732</v>
      </c>
    </row>
    <row r="11" spans="1:9" ht="17.25" thickBot="1" x14ac:dyDescent="0.35">
      <c r="A11" t="str">
        <f>'Calc (Jurisdiction)'!A10</f>
        <v>Distribution</v>
      </c>
      <c r="B11"/>
      <c r="C11" t="s">
        <v>71</v>
      </c>
      <c r="D11"/>
      <c r="E11" s="84">
        <f ca="1">IF(LEFT(A8,5)="blank",0,'Calc (Jurisdiction)'!$E$87*'Calc (Jurisdiction)'!$E$160+'Calc (Jurisdiction)'!$E$102*'Calc (Jurisdiction)'!$E$161+'Calc (Jurisdiction)'!$E$117*'Calc (Jurisdiction)'!$E$162+'Calc (Jurisdiction)'!$E$132*'Calc (Jurisdiction)'!$E$163+'Calc (Jurisdiction)'!$E$147*'Calc (Jurisdiction)'!$E$164)</f>
        <v>11.919452546929623</v>
      </c>
      <c r="F11" s="84">
        <f ca="1">IF(LEFT(A8,5)="blank",0,'Calc (Jurisdiction)'!$F$87*'Calc (Jurisdiction)'!$F$160+'Calc (Jurisdiction)'!$F$102*'Calc (Jurisdiction)'!$F$161+'Calc (Jurisdiction)'!$F$117*'Calc (Jurisdiction)'!$F$162+'Calc (Jurisdiction)'!$F$132*'Calc (Jurisdiction)'!$F$163+'Calc (Jurisdiction)'!$F$147*'Calc (Jurisdiction)'!$F$164)</f>
        <v>11.78218200110971</v>
      </c>
      <c r="G11" s="84">
        <f ca="1">IF(LEFT(A8,5)="blank",0,'Calc (Jurisdiction)'!$G$87*'Calc (Jurisdiction)'!$G$160+'Calc (Jurisdiction)'!$G$102*'Calc (Jurisdiction)'!$G$161+'Calc (Jurisdiction)'!$G$117*'Calc (Jurisdiction)'!$G$162+'Calc (Jurisdiction)'!$G$132*'Calc (Jurisdiction)'!$G$163+'Calc (Jurisdiction)'!$G$147*'Calc (Jurisdiction)'!$G$164)</f>
        <v>11.53458838355019</v>
      </c>
      <c r="H11" s="84">
        <f ca="1">IF(LEFT(A8,5)="blank",0,'Calc (Jurisdiction)'!$H$87*'Calc (Jurisdiction)'!$H$160+'Calc (Jurisdiction)'!$H$102*'Calc (Jurisdiction)'!$H$161+'Calc (Jurisdiction)'!$H$117*'Calc (Jurisdiction)'!$H$162+'Calc (Jurisdiction)'!$H$132*'Calc (Jurisdiction)'!$H$163+'Calc (Jurisdiction)'!$H$147*'Calc (Jurisdiction)'!$H$164)</f>
        <v>11.862439060112891</v>
      </c>
    </row>
    <row r="12" spans="1:9" ht="17.25" thickBot="1" x14ac:dyDescent="0.35">
      <c r="A12" t="str">
        <f>'Calc (Jurisdiction)'!A11</f>
        <v>Retail</v>
      </c>
      <c r="B12"/>
      <c r="C12" t="s">
        <v>71</v>
      </c>
      <c r="D12"/>
      <c r="E12" s="84">
        <f ca="1">IF(LEFT(Output!A8,5)="blank",0,'Calc (Jurisdiction)'!$E$88*'Calc (Jurisdiction)'!$E$160+'Calc (Jurisdiction)'!$E$103*'Calc (Jurisdiction)'!$E$161+'Calc (Jurisdiction)'!$E$118*'Calc (Jurisdiction)'!$E$162+'Calc (Jurisdiction)'!$E$133*'Calc (Jurisdiction)'!$E$163+'Calc (Jurisdiction)'!$E$148*'Calc (Jurisdiction)'!$E$164)</f>
        <v>1.3914543736581693</v>
      </c>
      <c r="F12" s="84">
        <f ca="1">IF(LEFT(Output!A8,5)="blank",0,'Calc (Jurisdiction)'!$F$88*'Calc (Jurisdiction)'!$F$160+'Calc (Jurisdiction)'!$F$103*'Calc (Jurisdiction)'!$F$161+'Calc (Jurisdiction)'!$F$118*'Calc (Jurisdiction)'!$F$162+'Calc (Jurisdiction)'!$F$133*'Calc (Jurisdiction)'!$F$163+'Calc (Jurisdiction)'!$F$148*'Calc (Jurisdiction)'!$F$164)</f>
        <v>1.4569907329996232</v>
      </c>
      <c r="G12" s="84">
        <f ca="1">IF(LEFT(Output!A8,5)="blank",0,'Calc (Jurisdiction)'!$G$88*'Calc (Jurisdiction)'!$G$160+'Calc (Jurisdiction)'!$G$103*'Calc (Jurisdiction)'!$G$161+'Calc (Jurisdiction)'!$G$118*'Calc (Jurisdiction)'!$G$162+'Calc (Jurisdiction)'!$G$133*'Calc (Jurisdiction)'!$G$163+'Calc (Jurisdiction)'!$G$148*'Calc (Jurisdiction)'!$G$164)</f>
        <v>1.4934155013246138</v>
      </c>
      <c r="H12" s="84">
        <f ca="1">IF(LEFT(Output!A8,5)="blank",0,'Calc (Jurisdiction)'!$H$88*'Calc (Jurisdiction)'!$H$160+'Calc (Jurisdiction)'!$H$103*'Calc (Jurisdiction)'!$H$161+'Calc (Jurisdiction)'!$H$118*'Calc (Jurisdiction)'!$H$162+'Calc (Jurisdiction)'!$H$133*'Calc (Jurisdiction)'!$H$163+'Calc (Jurisdiction)'!$H$148*'Calc (Jurisdiction)'!$H$164)</f>
        <v>1.5307508888577288</v>
      </c>
    </row>
    <row r="13" spans="1:9" ht="17.25" thickBot="1" x14ac:dyDescent="0.35">
      <c r="A13" t="str">
        <f>'Calc (Jurisdiction)'!A12</f>
        <v>Retail and Residual</v>
      </c>
      <c r="B13"/>
      <c r="C13" t="s">
        <v>71</v>
      </c>
      <c r="D13"/>
      <c r="E13" s="84">
        <f ca="1">IF(LEFT(A8,5)="blank",0,'Calc (Jurisdiction)'!$E$89*'Calc (Jurisdiction)'!$E$160+'Calc (Jurisdiction)'!$E$104*'Calc (Jurisdiction)'!$E$161+'Calc (Jurisdiction)'!$E$119*'Calc (Jurisdiction)'!$E$162+'Calc (Jurisdiction)'!$E$134*'Calc (Jurisdiction)'!$E$163+'Calc (Jurisdiction)'!$E$149*'Calc (Jurisdiction)'!$E$164)</f>
        <v>1.3021333004358491</v>
      </c>
      <c r="F13" s="84">
        <f ca="1">IF(LEFT(A8,5)="blank",0,'Calc (Jurisdiction)'!$F$89*'Calc (Jurisdiction)'!$F$160+'Calc (Jurisdiction)'!$F$104*'Calc (Jurisdiction)'!$F$161+'Calc (Jurisdiction)'!$F$119*'Calc (Jurisdiction)'!$F$162+'Calc (Jurisdiction)'!$F$134*'Calc (Jurisdiction)'!$F$163+'Calc (Jurisdiction)'!$F$149*'Calc (Jurisdiction)'!$F$164)</f>
        <v>1.5583332220483386</v>
      </c>
      <c r="G13" s="84">
        <f ca="1">IF(LEFT(A8,5)="blank",0,'Calc (Jurisdiction)'!$G$89*'Calc (Jurisdiction)'!$G$160+'Calc (Jurisdiction)'!$G$104*'Calc (Jurisdiction)'!$G$161+'Calc (Jurisdiction)'!$G$119*'Calc (Jurisdiction)'!$G$162+'Calc (Jurisdiction)'!$G$134*'Calc (Jurisdiction)'!$G$163+'Calc (Jurisdiction)'!$G$149*'Calc (Jurisdiction)'!$G$164)</f>
        <v>1.5268108139843564</v>
      </c>
      <c r="H13" s="84">
        <f ca="1">IF(LEFT(A8,5)="blank",0,'Calc (Jurisdiction)'!$H$89*'Calc (Jurisdiction)'!$H$160+'Calc (Jurisdiction)'!$H$104*'Calc (Jurisdiction)'!$H$161+'Calc (Jurisdiction)'!$H$119*'Calc (Jurisdiction)'!$H$162+'Calc (Jurisdiction)'!$H$134*'Calc (Jurisdiction)'!$H$163+'Calc (Jurisdiction)'!$H$149*'Calc (Jurisdiction)'!$H$164)</f>
        <v>1.5748147794399614</v>
      </c>
    </row>
    <row r="14" spans="1:9" ht="17.25" thickBot="1" x14ac:dyDescent="0.35">
      <c r="A14" t="str">
        <f>'Calc (Jurisdiction)'!A13</f>
        <v>Green Schemes</v>
      </c>
      <c r="B14"/>
      <c r="C14"/>
      <c r="D14"/>
      <c r="E14" s="89"/>
      <c r="F14" s="90"/>
      <c r="G14" s="89"/>
      <c r="H14" s="89"/>
    </row>
    <row r="15" spans="1:9" ht="17.25" thickBot="1" x14ac:dyDescent="0.35">
      <c r="A15" s="11" t="str">
        <f>'Calc (Jurisdiction)'!A14</f>
        <v>Feed-in Tariffs</v>
      </c>
      <c r="B15"/>
      <c r="C15" t="s">
        <v>71</v>
      </c>
      <c r="D15"/>
      <c r="E15" s="84">
        <f ca="1">IF(LEFT(A8,5)="blank",0,'Calc (Jurisdiction)'!E$91*'Calc (Jurisdiction)'!E$160+'Calc (Jurisdiction)'!E$106*'Calc (Jurisdiction)'!E$161+'Calc (Jurisdiction)'!E$121*'Calc (Jurisdiction)'!E$162+'Calc (Jurisdiction)'!E$136*'Calc (Jurisdiction)'!E$163+'Calc (Jurisdiction)'!E$151*'Calc (Jurisdiction)'!E$164)</f>
        <v>0.20196382952745356</v>
      </c>
      <c r="F15" s="84">
        <f ca="1">IF(LEFT(A8,5)="blank",0,'Calc (Jurisdiction)'!F$91*'Calc (Jurisdiction)'!F$160+'Calc (Jurisdiction)'!F$106*'Calc (Jurisdiction)'!F$161+'Calc (Jurisdiction)'!F$121*'Calc (Jurisdiction)'!F$162+'Calc (Jurisdiction)'!F$136*'Calc (Jurisdiction)'!F$163+'Calc (Jurisdiction)'!F$151*'Calc (Jurisdiction)'!F$164)</f>
        <v>1.2795193445866802</v>
      </c>
      <c r="G15" s="84">
        <f ca="1">IF(LEFT(A8,5)="blank",0,'Calc (Jurisdiction)'!G$91*'Calc (Jurisdiction)'!G$160+'Calc (Jurisdiction)'!G$106*'Calc (Jurisdiction)'!G$161+'Calc (Jurisdiction)'!G$121*'Calc (Jurisdiction)'!G$162+'Calc (Jurisdiction)'!G$136*'Calc (Jurisdiction)'!G$163+'Calc (Jurisdiction)'!G$151*'Calc (Jurisdiction)'!G$164)</f>
        <v>1.5794386789577981</v>
      </c>
      <c r="H15" s="84">
        <f ca="1">IF(LEFT(A8,5)="blank",0,'Calc (Jurisdiction)'!H$91*'Calc (Jurisdiction)'!H$160+'Calc (Jurisdiction)'!H$106*'Calc (Jurisdiction)'!H$161+'Calc (Jurisdiction)'!H$121*'Calc (Jurisdiction)'!H$162+'Calc (Jurisdiction)'!H$136*'Calc (Jurisdiction)'!H$163+'Calc (Jurisdiction)'!H$151*'Calc (Jurisdiction)'!H$164)</f>
        <v>1.5794386789577981</v>
      </c>
    </row>
    <row r="16" spans="1:9" ht="17.25" thickBot="1" x14ac:dyDescent="0.35">
      <c r="A16" s="11" t="str">
        <f>'Calc (Jurisdiction)'!A15</f>
        <v>Carbon costs</v>
      </c>
      <c r="B16"/>
      <c r="C16" t="s">
        <v>71</v>
      </c>
      <c r="D16"/>
      <c r="E16" s="84">
        <f ca="1">IF(LEFT(A8,5)="blank",0,'Calc (Jurisdiction)'!E$92*'Calc (Jurisdiction)'!E$160+'Calc (Jurisdiction)'!E$107*'Calc (Jurisdiction)'!E$161+'Calc (Jurisdiction)'!E$122*'Calc (Jurisdiction)'!E$162+'Calc (Jurisdiction)'!E$137*'Calc (Jurisdiction)'!E$163+'Calc (Jurisdiction)'!E$152*'Calc (Jurisdiction)'!E$164)</f>
        <v>0</v>
      </c>
      <c r="F16" s="84">
        <f ca="1">IF(LEFT(A8,5)="blank",0,'Calc (Jurisdiction)'!F$92*'Calc (Jurisdiction)'!F$160+'Calc (Jurisdiction)'!F$107*'Calc (Jurisdiction)'!F$161+'Calc (Jurisdiction)'!F$122*'Calc (Jurisdiction)'!F$162+'Calc (Jurisdiction)'!F$137*'Calc (Jurisdiction)'!F$163+'Calc (Jurisdiction)'!F$152*'Calc (Jurisdiction)'!F$164)</f>
        <v>2.0333831431372906</v>
      </c>
      <c r="G16" s="84">
        <f ca="1">IF(LEFT(A8,5)="blank",0,'Calc (Jurisdiction)'!G$92*'Calc (Jurisdiction)'!G$160+'Calc (Jurisdiction)'!G$107*'Calc (Jurisdiction)'!G$161+'Calc (Jurisdiction)'!G$122*'Calc (Jurisdiction)'!G$162+'Calc (Jurisdiction)'!G$137*'Calc (Jurisdiction)'!G$163+'Calc (Jurisdiction)'!G$152*'Calc (Jurisdiction)'!G$164)</f>
        <v>2.1337153082608444</v>
      </c>
      <c r="H16" s="84">
        <f ca="1">IF(LEFT(A8,5)="blank",0,'Calc (Jurisdiction)'!H$92*'Calc (Jurisdiction)'!H$160+'Calc (Jurisdiction)'!H$107*'Calc (Jurisdiction)'!H$161+'Calc (Jurisdiction)'!H$122*'Calc (Jurisdiction)'!H$162+'Calc (Jurisdiction)'!H$137*'Calc (Jurisdiction)'!H$163+'Calc (Jurisdiction)'!H$152*'Calc (Jurisdiction)'!H$164)</f>
        <v>2.2684870498171557</v>
      </c>
    </row>
    <row r="17" spans="1:13" ht="17.25" thickBot="1" x14ac:dyDescent="0.35">
      <c r="A17" s="11" t="str">
        <f>'Calc (Jurisdiction)'!A16</f>
        <v>Large Scale Renewable Energy Target</v>
      </c>
      <c r="B17"/>
      <c r="C17" t="s">
        <v>71</v>
      </c>
      <c r="D17"/>
      <c r="E17" s="84">
        <f ca="1">IF(LEFT(A8,5)="blank",0,'Calc (Jurisdiction)'!$E$93*'Calc (Jurisdiction)'!$E$160+'Calc (Jurisdiction)'!$E$108*'Calc (Jurisdiction)'!$E$161+'Calc (Jurisdiction)'!$E$123*'Calc (Jurisdiction)'!$E$162+'Calc (Jurisdiction)'!$E$138*'Calc (Jurisdiction)'!$E$163+'Calc (Jurisdiction)'!$E$153*'Calc (Jurisdiction)'!$E$164)</f>
        <v>0.27242894063629625</v>
      </c>
      <c r="F17" s="84">
        <f ca="1">IF(LEFT(A8,5)="blank",0,'Calc (Jurisdiction)'!$F$93*'Calc (Jurisdiction)'!$F$160+'Calc (Jurisdiction)'!$F$108*'Calc (Jurisdiction)'!$F$161+'Calc (Jurisdiction)'!$F$123*'Calc (Jurisdiction)'!$F$162+'Calc (Jurisdiction)'!$F$138*'Calc (Jurisdiction)'!$F$163+'Calc (Jurisdiction)'!$F$153*'Calc (Jurisdiction)'!$F$164)</f>
        <v>0.45505302506099338</v>
      </c>
      <c r="G17" s="84">
        <f ca="1">IF(LEFT(A8,5)="blank",0,'Calc (Jurisdiction)'!$G$93*'Calc (Jurisdiction)'!$G$160+'Calc (Jurisdiction)'!$G$108*'Calc (Jurisdiction)'!$G$161+'Calc (Jurisdiction)'!$G$123*'Calc (Jurisdiction)'!$G$162+'Calc (Jurisdiction)'!$G$138*'Calc (Jurisdiction)'!$G$163+'Calc (Jurisdiction)'!$G$153*'Calc (Jurisdiction)'!$G$164)</f>
        <v>0.48761504466278616</v>
      </c>
      <c r="H17" s="84">
        <f ca="1">IF(LEFT(A8,5)="blank",0,'Calc (Jurisdiction)'!$H$93*'Calc (Jurisdiction)'!$H$160+'Calc (Jurisdiction)'!$H$108*'Calc (Jurisdiction)'!$H$161+'Calc (Jurisdiction)'!$H$123*'Calc (Jurisdiction)'!$H$162+'Calc (Jurisdiction)'!$H$138*'Calc (Jurisdiction)'!$H$163+'Calc (Jurisdiction)'!$H$153*'Calc (Jurisdiction)'!$H$164)</f>
        <v>0.51636315180425818</v>
      </c>
    </row>
    <row r="18" spans="1:13" ht="17.25" thickBot="1" x14ac:dyDescent="0.35">
      <c r="A18" s="11" t="str">
        <f>'Calc (Jurisdiction)'!A17</f>
        <v>Small Scale Renewable Energy Scheme</v>
      </c>
      <c r="B18"/>
      <c r="C18" t="s">
        <v>71</v>
      </c>
      <c r="D18"/>
      <c r="E18" s="84">
        <f ca="1">IF(LEFT(A8,5)="blank",0,'Calc (Jurisdiction)'!$E$94*'Calc (Jurisdiction)'!$E$160+'Calc (Jurisdiction)'!$E$109*'Calc (Jurisdiction)'!$E$161+'Calc (Jurisdiction)'!$E$124*'Calc (Jurisdiction)'!$E$162+'Calc (Jurisdiction)'!$E$139*'Calc (Jurisdiction)'!$E$163+'Calc (Jurisdiction)'!$E$154*'Calc (Jurisdiction)'!$E$164)</f>
        <v>0.62320831075477701</v>
      </c>
      <c r="F18" s="84">
        <f ca="1">IF(LEFT(A8,5)="blank",0,'Calc (Jurisdiction)'!$F$94*'Calc (Jurisdiction)'!$F$160+'Calc (Jurisdiction)'!$F$109*'Calc (Jurisdiction)'!$F$161+'Calc (Jurisdiction)'!$F$124*'Calc (Jurisdiction)'!$F$162+'Calc (Jurisdiction)'!$F$139*'Calc (Jurisdiction)'!$F$163+'Calc (Jurisdiction)'!$F$154*'Calc (Jurisdiction)'!$F$164)</f>
        <v>0.55992165725799836</v>
      </c>
      <c r="G18" s="84">
        <f ca="1">IF(LEFT(A8,5)="blank",0,'Calc (Jurisdiction)'!$G$94*'Calc (Jurisdiction)'!$G$160+'Calc (Jurisdiction)'!$G$109*'Calc (Jurisdiction)'!$G$161+'Calc (Jurisdiction)'!$G$124*'Calc (Jurisdiction)'!$G$162+'Calc (Jurisdiction)'!$G$139*'Calc (Jurisdiction)'!$G$163+'Calc (Jurisdiction)'!$G$154*'Calc (Jurisdiction)'!$G$164)</f>
        <v>0.24643573880571468</v>
      </c>
      <c r="H18" s="84">
        <f ca="1">IF(LEFT(A8,5)="blank",0,'Calc (Jurisdiction)'!$H$94*'Calc (Jurisdiction)'!$H$160+'Calc (Jurisdiction)'!$H$109*'Calc (Jurisdiction)'!$H$161+'Calc (Jurisdiction)'!$H$124*'Calc (Jurisdiction)'!$H$162+'Calc (Jurisdiction)'!$H$139*'Calc (Jurisdiction)'!$H$163+'Calc (Jurisdiction)'!$H$154*'Calc (Jurisdiction)'!$H$164)</f>
        <v>0.214139317195849</v>
      </c>
    </row>
    <row r="19" spans="1:13" ht="17.25" thickBot="1" x14ac:dyDescent="0.35">
      <c r="A19" s="11" t="str">
        <f>'Calc (Jurisdiction)'!A18</f>
        <v>Energy savings</v>
      </c>
      <c r="B19"/>
      <c r="C19" t="s">
        <v>71</v>
      </c>
      <c r="D19"/>
      <c r="E19" s="84">
        <f ca="1">IF(LEFT(A8,5)="blank",0,'Calc (Jurisdiction)'!$E$95*'Calc (Jurisdiction)'!$E$160+'Calc (Jurisdiction)'!$E$110*'Calc (Jurisdiction)'!$E$161+'Calc (Jurisdiction)'!$E$125*'Calc (Jurisdiction)'!$E$162+'Calc (Jurisdiction)'!$E$140*'Calc (Jurisdiction)'!$E$163+'Calc (Jurisdiction)'!$E$155*'Calc (Jurisdiction)'!$E$164)</f>
        <v>0.11172499999999999</v>
      </c>
      <c r="F19" s="84">
        <f ca="1">IF(LEFT(A8,5)="blank",0,'Calc (Jurisdiction)'!$F$95*'Calc (Jurisdiction)'!$F$160+'Calc (Jurisdiction)'!$F$110*'Calc (Jurisdiction)'!$F$161+'Calc (Jurisdiction)'!$F$125*'Calc (Jurisdiction)'!$F$162+'Calc (Jurisdiction)'!$F$140*'Calc (Jurisdiction)'!$F$163+'Calc (Jurisdiction)'!$F$155*'Calc (Jurisdiction)'!$F$164)</f>
        <v>0.15494958761426933</v>
      </c>
      <c r="G19" s="84">
        <f ca="1">IF(LEFT(A8,5)="blank",0,'Calc (Jurisdiction)'!$G$95*'Calc (Jurisdiction)'!$G$160+'Calc (Jurisdiction)'!$G$110*'Calc (Jurisdiction)'!$G$161+'Calc (Jurisdiction)'!$G$125*'Calc (Jurisdiction)'!$G$162+'Calc (Jurisdiction)'!$G$140*'Calc (Jurisdiction)'!$G$163+'Calc (Jurisdiction)'!$G$155*'Calc (Jurisdiction)'!$G$164)</f>
        <v>0</v>
      </c>
      <c r="H19" s="84">
        <f ca="1">IF(LEFT(A8,5)="blank",0,'Calc (Jurisdiction)'!$H$95*'Calc (Jurisdiction)'!$H$160+'Calc (Jurisdiction)'!$H$110*'Calc (Jurisdiction)'!$H$161+'Calc (Jurisdiction)'!$H$125*'Calc (Jurisdiction)'!$H$162+'Calc (Jurisdiction)'!$H$140*'Calc (Jurisdiction)'!$H$163+'Calc (Jurisdiction)'!$H$155*'Calc (Jurisdiction)'!$H$164)</f>
        <v>0</v>
      </c>
    </row>
    <row r="20" spans="1:13" ht="17.25" thickBot="1" x14ac:dyDescent="0.35">
      <c r="A20" s="11" t="str">
        <f>'Calc (Jurisdiction)'!A19</f>
        <v>Blank</v>
      </c>
      <c r="B20"/>
      <c r="C20" t="s">
        <v>71</v>
      </c>
      <c r="D20"/>
      <c r="E20" s="84">
        <f ca="1">IF(LEFT(A8,5)="blank",0,'Calc (Jurisdiction)'!$E$96*'Calc (Jurisdiction)'!$E$160+'Calc (Jurisdiction)'!$E$111*'Calc (Jurisdiction)'!$E$161+'Calc (Jurisdiction)'!$E$126*'Calc (Jurisdiction)'!$E$162+'Calc (Jurisdiction)'!$E$141*'Calc (Jurisdiction)'!$E$163+'Calc (Jurisdiction)'!$E$156*'Calc (Jurisdiction)'!$E$164)</f>
        <v>0</v>
      </c>
      <c r="F20" s="84">
        <f ca="1">IF(LEFT(A8,5)="blank",0,'Calc (Jurisdiction)'!$F$96*'Calc (Jurisdiction)'!$F$160+'Calc (Jurisdiction)'!$F$111*'Calc (Jurisdiction)'!$F$161+'Calc (Jurisdiction)'!$F$126*'Calc (Jurisdiction)'!$F$162+'Calc (Jurisdiction)'!$F$141*'Calc (Jurisdiction)'!$F$163+'Calc (Jurisdiction)'!$F$156*'Calc (Jurisdiction)'!$G$18)</f>
        <v>0</v>
      </c>
      <c r="G20" s="84">
        <f ca="1">IF(LEFT(A8,5)="blank",0,'Calc (Jurisdiction)'!$G$96*'Calc (Jurisdiction)'!$G$160+'Calc (Jurisdiction)'!$G$111*'Calc (Jurisdiction)'!$G$161+'Calc (Jurisdiction)'!$G$126*'Calc (Jurisdiction)'!$G$162+'Calc (Jurisdiction)'!$G$141*'Calc (Jurisdiction)'!$G$163+'Calc (Jurisdiction)'!$G$156*'Calc (Jurisdiction)'!$G$164)</f>
        <v>0</v>
      </c>
      <c r="H20" s="84">
        <f ca="1">IF(LEFT(A8,5)="blank",0,'Calc (Jurisdiction)'!$H$96*'Calc (Jurisdiction)'!$H$160+'Calc (Jurisdiction)'!$H$111*'Calc (Jurisdiction)'!$H$161+'Calc (Jurisdiction)'!$H$126*'Calc (Jurisdiction)'!$H$162+'Calc (Jurisdiction)'!$H$141*'Calc (Jurisdiction)'!$H$163+'Calc (Jurisdiction)'!$H$156*'Calc (Jurisdiction)'!$H$164)</f>
        <v>0</v>
      </c>
      <c r="J20" s="29"/>
      <c r="K20" s="29"/>
      <c r="L20" s="29"/>
      <c r="M20" s="29"/>
    </row>
    <row r="21" spans="1:13" ht="17.25" thickBot="1" x14ac:dyDescent="0.35">
      <c r="A21" t="s">
        <v>61</v>
      </c>
      <c r="B21"/>
      <c r="C21" t="s">
        <v>71</v>
      </c>
      <c r="D21"/>
      <c r="E21" s="84">
        <f ca="1">SUM(E9:E20)</f>
        <v>25.415712938136757</v>
      </c>
      <c r="F21" s="84">
        <f ca="1">SUM(F9:F20)</f>
        <v>30.416355852573126</v>
      </c>
      <c r="G21" s="84">
        <f ca="1">SUM(G9:G20)</f>
        <v>29.80108514702799</v>
      </c>
      <c r="H21" s="84">
        <f ca="1">SUM(H9:H20)</f>
        <v>30.738051435735546</v>
      </c>
    </row>
    <row r="22" spans="1:13" x14ac:dyDescent="0.3">
      <c r="A22"/>
      <c r="B22"/>
      <c r="C22"/>
      <c r="D22"/>
      <c r="E22" s="89"/>
      <c r="F22" s="89"/>
      <c r="G22" s="89"/>
      <c r="H22" s="89"/>
    </row>
    <row r="23" spans="1:13" ht="17.25" thickBot="1" x14ac:dyDescent="0.35">
      <c r="A23" s="88" t="str">
        <f ca="1">'Calc (LRMC Planning case)'!B2</f>
        <v>Calc (LRMC Planning case)</v>
      </c>
      <c r="B23"/>
      <c r="C23"/>
      <c r="D23"/>
      <c r="E23" s="89"/>
      <c r="F23" s="89"/>
      <c r="G23" s="89"/>
      <c r="H23" s="89"/>
    </row>
    <row r="24" spans="1:13" ht="17.25" thickBot="1" x14ac:dyDescent="0.35">
      <c r="A24" t="str">
        <f>A9</f>
        <v>Wholesale</v>
      </c>
      <c r="B24"/>
      <c r="C24" t="s">
        <v>71</v>
      </c>
      <c r="D24"/>
      <c r="E24" s="84">
        <f ca="1">IF(LEFT(A23,5)="blank",0,IF(LEFT(A8,5)="blank",0,'Calc (LRMC Planning case)'!$E$85*'Calc (LRMC Planning case)'!$E$160+'Calc (LRMC Planning case)'!$E$100*'Calc (LRMC Planning case)'!$E$161+'Calc (LRMC Planning case)'!$E$115*'Calc (LRMC Planning case)'!$E$162+'Calc (LRMC Planning case)'!$E$130*'Calc (LRMC Planning case)'!$E$163+'Calc (LRMC Planning case)'!$E$145*'Calc (LRMC Planning case)'!$E$164))</f>
        <v>7.4317900083507746</v>
      </c>
      <c r="F24" s="84">
        <f ca="1">IF(LEFT(A23,5)="blank",0,IF(LEFT(A8,5)="blank",0,'Calc (LRMC Planning case)'!$F$85*'Calc (LRMC Planning case)'!$F$160+'Calc (LRMC Planning case)'!$F$100*'Calc (LRMC Planning case)'!$F$161+'Calc (LRMC Planning case)'!$F$115*'Calc (LRMC Planning case)'!$F$162+'Calc (LRMC Planning case)'!$F$130*'Calc (LRMC Planning case)'!$F$163+'Calc (LRMC Planning case)'!$F$145*'Calc (LRMC Planning case)'!$F$164))</f>
        <v>7.584943753917111</v>
      </c>
      <c r="G24" s="84">
        <f ca="1">IF(LEFT(A23,5)="blank",0,IF(LEFT(A8,5)="blank",0,'Calc (LRMC Planning case)'!$G$85*'Calc (LRMC Planning case)'!$G$160+'Calc (LRMC Planning case)'!$G$100*'Calc (LRMC Planning case)'!$G$161+'Calc (LRMC Planning case)'!$G$115*'Calc (LRMC Planning case)'!$G$162+'Calc (LRMC Planning case)'!$G$130*'Calc (LRMC Planning case)'!$G$163+'Calc (LRMC Planning case)'!$G$145*'Calc (LRMC Planning case)'!$G$164))</f>
        <v>7.000595013658609</v>
      </c>
      <c r="H24" s="84">
        <f ca="1">IF(LEFT(A23,5)="blank",0,IF(LEFT(A8,5)="blank",0,'Calc (LRMC Planning case)'!$H$85*'Calc (LRMC Planning case)'!$H$160+'Calc (LRMC Planning case)'!$H$100*'Calc (LRMC Planning case)'!$H$161+'Calc (LRMC Planning case)'!$H$115*'Calc (LRMC Planning case)'!$H$162+'Calc (LRMC Planning case)'!$H$130*'Calc (LRMC Planning case)'!$H$163+'Calc (LRMC Planning case)'!$H$145*'Calc (LRMC Planning case)'!$H$164))</f>
        <v>7.1285216817187322</v>
      </c>
    </row>
    <row r="25" spans="1:13" ht="17.25" thickBot="1" x14ac:dyDescent="0.35">
      <c r="A25" t="str">
        <f>A10</f>
        <v>Transmission</v>
      </c>
      <c r="B25"/>
      <c r="C25" t="s">
        <v>71</v>
      </c>
      <c r="D25"/>
      <c r="E25" s="84">
        <f ca="1">IF(LEFT(A23,5)="blank",0,IF(LEFT(A8,5)="blank",0,'Calc (LRMC Planning case)'!$E$86*'Calc (LRMC Planning case)'!$E$160+'Calc (LRMC Planning case)'!$E$101*'Calc (LRMC Planning case)'!$E$161+'Calc (LRMC Planning case)'!$E$116*'Calc (LRMC Planning case)'!$E$162+'Calc (LRMC Planning case)'!$E$131*'Calc (LRMC Planning case)'!$E$163+'Calc (LRMC Planning case)'!$E$146*'Calc (LRMC Planning case)'!$E$164))</f>
        <v>2.1615566278438139</v>
      </c>
      <c r="F25" s="84">
        <f ca="1">IF(LEFT(A23,5)="blank",0,IF(LEFT(A8,5)="blank",0,'Calc (LRMC Planning case)'!$F$86*'Calc (LRMC Planning case)'!$F$160+'Calc (LRMC Planning case)'!$F$101*'Calc (LRMC Planning case)'!$F$161+'Calc (LRMC Planning case)'!$F$116*'Calc (LRMC Planning case)'!$F$162+'Calc (LRMC Planning case)'!$F$131*'Calc (LRMC Planning case)'!$F$163+'Calc (LRMC Planning case)'!$F$146*'Calc (LRMC Planning case)'!$F$164))</f>
        <v>3.5510793848411084</v>
      </c>
      <c r="G25" s="84">
        <f ca="1">IF(LEFT(A23,5)="blank",0,IF(LEFT(A8,5)="blank",0,'Calc (LRMC Planning case)'!$G$86*'Calc (LRMC Planning case)'!$G$160+'Calc (LRMC Planning case)'!$G$101*'Calc (LRMC Planning case)'!$G$161+'Calc (LRMC Planning case)'!$G$116*'Calc (LRMC Planning case)'!$G$162+'Calc (LRMC Planning case)'!$G$131*'Calc (LRMC Planning case)'!$G$163+'Calc (LRMC Planning case)'!$G$146*'Calc (LRMC Planning case)'!$G$164))</f>
        <v>3.7984706638230836</v>
      </c>
      <c r="H25" s="84">
        <f ca="1">IF(LEFT(A23,5)="blank",0,IF(LEFT(A8,5)="blank",0,'Calc (LRMC Planning case)'!$H$86*'Calc (LRMC Planning case)'!$H$160+'Calc (LRMC Planning case)'!$H$101*'Calc (LRMC Planning case)'!$H$161+'Calc (LRMC Planning case)'!$H$116*'Calc (LRMC Planning case)'!$H$162+'Calc (LRMC Planning case)'!$H$131*'Calc (LRMC Planning case)'!$H$163+'Calc (LRMC Planning case)'!$H$146*'Calc (LRMC Planning case)'!$H$164))</f>
        <v>4.0630968278311732</v>
      </c>
    </row>
    <row r="26" spans="1:13" ht="17.25" thickBot="1" x14ac:dyDescent="0.35">
      <c r="A26" t="str">
        <f>A11</f>
        <v>Distribution</v>
      </c>
      <c r="B26"/>
      <c r="C26" t="s">
        <v>71</v>
      </c>
      <c r="D26"/>
      <c r="E26" s="84">
        <f ca="1">IF(LEFT(A23,5)="blank",0,IF(LEFT(A8,5)="blank",0,'Calc (LRMC Planning case)'!$E$87*'Calc (LRMC Planning case)'!$E$160+'Calc (LRMC Planning case)'!$E$102*'Calc (LRMC Planning case)'!$E$161+'Calc (LRMC Planning case)'!$E$117*'Calc (LRMC Planning case)'!$E$162+'Calc (LRMC Planning case)'!$E$132*'Calc (LRMC Planning case)'!$E$163+'Calc (LRMC Planning case)'!$E$147*'Calc (LRMC Planning case)'!$E$164))</f>
        <v>11.919452546929623</v>
      </c>
      <c r="F26" s="84">
        <f ca="1">IF(LEFT(A23,5)="blank",0,IF(LEFT(A8,5)="blank",0,'Calc (LRMC Planning case)'!$F$87*'Calc (LRMC Planning case)'!$F$160+'Calc (LRMC Planning case)'!$F$102*'Calc (LRMC Planning case)'!$F$161+'Calc (LRMC Planning case)'!$F$117*'Calc (LRMC Planning case)'!$F$162+'Calc (LRMC Planning case)'!$F$132*'Calc (LRMC Planning case)'!$F$163+'Calc (LRMC Planning case)'!$F$147*'Calc (LRMC Planning case)'!$F$164))</f>
        <v>11.78218200110971</v>
      </c>
      <c r="G26" s="84">
        <f ca="1">IF(LEFT(A23,5)="blank",0,IF(LEFT(A8,5)="blank",0,'Calc (LRMC Planning case)'!$G$87*'Calc (LRMC Planning case)'!$G$160+'Calc (LRMC Planning case)'!$G$102*'Calc (LRMC Planning case)'!$G$161+'Calc (LRMC Planning case)'!$G$117*'Calc (LRMC Planning case)'!$G$162+'Calc (LRMC Planning case)'!$G$132*'Calc (LRMC Planning case)'!$G$163+'Calc (LRMC Planning case)'!$G$147*'Calc (LRMC Planning case)'!$G$164))</f>
        <v>11.53458838355019</v>
      </c>
      <c r="H26" s="84">
        <f ca="1">IF(LEFT(A23,5)="blank",0,IF(LEFT(A8,5)="blank",0,'Calc (LRMC Planning case)'!$H$87*'Calc (LRMC Planning case)'!$H$160+'Calc (LRMC Planning case)'!$H$102*'Calc (LRMC Planning case)'!$H$161+'Calc (LRMC Planning case)'!$H$117*'Calc (LRMC Planning case)'!$H$162+'Calc (LRMC Planning case)'!$H$132*'Calc (LRMC Planning case)'!$H$163+'Calc (LRMC Planning case)'!$H$147*'Calc (LRMC Planning case)'!$H$164))</f>
        <v>11.862439060112891</v>
      </c>
    </row>
    <row r="27" spans="1:13" ht="17.25" thickBot="1" x14ac:dyDescent="0.35">
      <c r="A27" t="str">
        <f>A12</f>
        <v>Retail</v>
      </c>
      <c r="B27"/>
      <c r="C27" t="s">
        <v>71</v>
      </c>
      <c r="D27"/>
      <c r="E27" s="84">
        <f ca="1">IF(LEFT(A23,5)="blank",0,IF(LEFT(A8,5)="blank",0,'Calc (LRMC Planning case)'!$E$88*'Calc (LRMC Planning case)'!$E$160+'Calc (LRMC Planning case)'!$E$103*'Calc (LRMC Planning case)'!$E$161+'Calc (LRMC Planning case)'!$E$118*'Calc (LRMC Planning case)'!$E$162+'Calc (LRMC Planning case)'!$E$133*'Calc (LRMC Planning case)'!$E$163+'Calc (LRMC Planning case)'!$E$148*'Calc (LRMC Planning case)'!$E$164))</f>
        <v>1.3914543736581693</v>
      </c>
      <c r="F27" s="84">
        <f ca="1">IF(LEFT(A23,5)="blank",0,IF(LEFT(A8,5)="blank",0,'Calc (LRMC Planning case)'!$F$88*'Calc (LRMC Planning case)'!$F$160+'Calc (LRMC Planning case)'!$F$103*'Calc (LRMC Planning case)'!$F$161+'Calc (LRMC Planning case)'!$F$118*'Calc (LRMC Planning case)'!$F$162+'Calc (LRMC Planning case)'!$F$133*'Calc (LRMC Planning case)'!$F$163+'Calc (LRMC Planning case)'!$F$148*'Calc (LRMC Planning case)'!$F$164))</f>
        <v>1.4569907329996232</v>
      </c>
      <c r="G27" s="84">
        <f ca="1">IF(LEFT(A23,5)="blank",0,IF(LEFT(A8,5)="blank",0,'Calc (LRMC Planning case)'!$G$88*'Calc (LRMC Planning case)'!$G$160+'Calc (LRMC Planning case)'!$G$103*'Calc (LRMC Planning case)'!$G$161+'Calc (LRMC Planning case)'!$G$118*'Calc (LRMC Planning case)'!$G$162+'Calc (LRMC Planning case)'!$G$133*'Calc (LRMC Planning case)'!$G$163+'Calc (LRMC Planning case)'!$G$148*'Calc (LRMC Planning case)'!$G$164))</f>
        <v>1.4934155013246138</v>
      </c>
      <c r="H27" s="84">
        <f ca="1">IF(LEFT(A23,5)="blank",0,IF(LEFT(A8,5)="blank",0,'Calc (LRMC Planning case)'!$H$88*'Calc (LRMC Planning case)'!$H$160+'Calc (LRMC Planning case)'!$H$103*'Calc (LRMC Planning case)'!$H$161+'Calc (LRMC Planning case)'!$H$118*'Calc (LRMC Planning case)'!$H$162+'Calc (LRMC Planning case)'!$H$133*'Calc (LRMC Planning case)'!$H$163+'Calc (LRMC Planning case)'!$H$148*'Calc (LRMC Planning case)'!$H$164))</f>
        <v>1.5307508888577288</v>
      </c>
    </row>
    <row r="28" spans="1:13" ht="17.25" thickBot="1" x14ac:dyDescent="0.35">
      <c r="A28" t="str">
        <f>A13</f>
        <v>Retail and Residual</v>
      </c>
      <c r="B28"/>
      <c r="C28" t="s">
        <v>71</v>
      </c>
      <c r="D28"/>
      <c r="E28" s="84">
        <f ca="1">IF(LEFT(A23,5)="blank",0,IF(LEFT(A8,5)="blank",0,'Calc (LRMC Planning case)'!$E$89*'Calc (LRMC Planning case)'!$E$160+'Calc (LRMC Planning case)'!$E$104*'Calc (LRMC Planning case)'!$E$161+'Calc (LRMC Planning case)'!$E$119*'Calc (LRMC Planning case)'!$E$162+'Calc (LRMC Planning case)'!$E$134*'Calc (LRMC Planning case)'!$E$163+'Calc (LRMC Planning case)'!$E$149*'Calc (LRMC Planning case)'!$E$164))</f>
        <v>1.3021333004358491</v>
      </c>
      <c r="F28" s="84">
        <f ca="1">IF(LEFT(A23,5)="blank",0,IF(LEFT(A8,5)="blank",0,'Calc (LRMC Planning case)'!$F$89*'Calc (LRMC Planning case)'!$F$160+'Calc (LRMC Planning case)'!$F$104*'Calc (LRMC Planning case)'!$F$161+'Calc (LRMC Planning case)'!$F$119*'Calc (LRMC Planning case)'!$F$162+'Calc (LRMC Planning case)'!$F$134*'Calc (LRMC Planning case)'!$F$163+'Calc (LRMC Planning case)'!$F$149*'Calc (LRMC Planning case)'!$F$164))</f>
        <v>1.5583332220483386</v>
      </c>
      <c r="G28" s="84">
        <f ca="1">IF(LEFT(A23,5)="blank",0,IF(LEFT(A8,5)="blank",0,'Calc (LRMC Planning case)'!$G$89*'Calc (LRMC Planning case)'!$G$160+'Calc (LRMC Planning case)'!$G$104*'Calc (LRMC Planning case)'!$G$161+'Calc (LRMC Planning case)'!$G$119*'Calc (LRMC Planning case)'!$G$162+'Calc (LRMC Planning case)'!$G$134*'Calc (LRMC Planning case)'!$G$163+'Calc (LRMC Planning case)'!$G$149*'Calc (LRMC Planning case)'!$G$164))</f>
        <v>1.5268108139843564</v>
      </c>
      <c r="H28" s="84">
        <f ca="1">IF(LEFT(A23,5)="blank",0,IF(LEFT(A8,5)="blank",0,'Calc (LRMC Planning case)'!$H$89*'Calc (LRMC Planning case)'!$H$160+'Calc (LRMC Planning case)'!$H$104*'Calc (LRMC Planning case)'!$H$161+'Calc (LRMC Planning case)'!$H$119*'Calc (LRMC Planning case)'!$H$162+'Calc (LRMC Planning case)'!$H$134*'Calc (LRMC Planning case)'!$H$163+'Calc (LRMC Planning case)'!$H$149*'Calc (LRMC Planning case)'!$H$164))</f>
        <v>1.5748147794399614</v>
      </c>
    </row>
    <row r="29" spans="1:13" ht="17.25" thickBot="1" x14ac:dyDescent="0.35">
      <c r="A29" t="str">
        <f t="shared" ref="A29:A35" si="0">A14</f>
        <v>Green Schemes</v>
      </c>
      <c r="B29"/>
      <c r="C29"/>
      <c r="D29"/>
      <c r="E29" s="89"/>
      <c r="F29" s="90"/>
      <c r="G29" s="89"/>
      <c r="H29" s="89"/>
    </row>
    <row r="30" spans="1:13" ht="17.25" thickBot="1" x14ac:dyDescent="0.35">
      <c r="A30" s="11" t="str">
        <f t="shared" si="0"/>
        <v>Feed-in Tariffs</v>
      </c>
      <c r="B30"/>
      <c r="C30" t="s">
        <v>71</v>
      </c>
      <c r="D30"/>
      <c r="E30" s="84">
        <f ca="1">IF(LEFT(A23,5)="blank",0,'Calc (LRMC Planning case)'!E$91*'Calc (LRMC Planning case)'!E$160+'Calc (LRMC Planning case)'!E$106*'Calc (LRMC Planning case)'!E$161+'Calc (LRMC Planning case)'!E$121*'Calc (LRMC Planning case)'!E$162+'Calc (LRMC Planning case)'!E$136*'Calc (LRMC Planning case)'!E$163+'Calc (LRMC Planning case)'!E$151*'Calc (LRMC Planning case)'!E$164)</f>
        <v>0.20196382952745356</v>
      </c>
      <c r="F30" s="84">
        <f ca="1">IF(LEFT(A23,5)="blank",0,'Calc (LRMC Planning case)'!F$91*'Calc (LRMC Planning case)'!F$160+'Calc (LRMC Planning case)'!F$106*'Calc (LRMC Planning case)'!F$161+'Calc (LRMC Planning case)'!F$121*'Calc (LRMC Planning case)'!F$162+'Calc (LRMC Planning case)'!F$136*'Calc (LRMC Planning case)'!F$163+'Calc (LRMC Planning case)'!F$151*'Calc (LRMC Planning case)'!F$164)</f>
        <v>1.2795193445866802</v>
      </c>
      <c r="G30" s="84">
        <f ca="1">IF(LEFT(A23,5)="blank",0,'Calc (LRMC Planning case)'!G$91*'Calc (LRMC Planning case)'!G$160+'Calc (LRMC Planning case)'!G$106*'Calc (LRMC Planning case)'!G$161+'Calc (LRMC Planning case)'!G$121*'Calc (LRMC Planning case)'!G$162+'Calc (LRMC Planning case)'!G$136*'Calc (LRMC Planning case)'!G$163+'Calc (LRMC Planning case)'!G$151*'Calc (LRMC Planning case)'!G$164)</f>
        <v>1.5794386789577981</v>
      </c>
      <c r="H30" s="84">
        <f ca="1">IF(LEFT(A23,5)="blank",0,'Calc (LRMC Planning case)'!H$91*'Calc (LRMC Planning case)'!H$160+'Calc (LRMC Planning case)'!H$106*'Calc (LRMC Planning case)'!H$161+'Calc (LRMC Planning case)'!H$121*'Calc (LRMC Planning case)'!H$162+'Calc (LRMC Planning case)'!H$136*'Calc (LRMC Planning case)'!H$163+'Calc (LRMC Planning case)'!H$151*'Calc (LRMC Planning case)'!H$164)</f>
        <v>1.5794386789577981</v>
      </c>
    </row>
    <row r="31" spans="1:13" ht="17.25" thickBot="1" x14ac:dyDescent="0.35">
      <c r="A31" s="11" t="str">
        <f t="shared" si="0"/>
        <v>Carbon costs</v>
      </c>
      <c r="B31"/>
      <c r="C31" t="s">
        <v>71</v>
      </c>
      <c r="D31"/>
      <c r="E31" s="84">
        <f ca="1">IF(LEFT(A23,5)="blank",0,'Calc (LRMC Planning case)'!E$92*'Calc (LRMC Planning case)'!E$160+'Calc (LRMC Planning case)'!E$107*'Calc (LRMC Planning case)'!E$161+'Calc (LRMC Planning case)'!E$122*'Calc (LRMC Planning case)'!E$162+'Calc (LRMC Planning case)'!E$137*'Calc (LRMC Planning case)'!E$163+'Calc (LRMC Planning case)'!E$152*'Calc (LRMC Planning case)'!E$164)</f>
        <v>0</v>
      </c>
      <c r="F31" s="84">
        <f ca="1">IF(LEFT(A23,5)="blank",0,'Calc (LRMC Planning case)'!F$92*'Calc (LRMC Planning case)'!F$160+'Calc (LRMC Planning case)'!F$107*'Calc (LRMC Planning case)'!F$161+'Calc (LRMC Planning case)'!F$122*'Calc (LRMC Planning case)'!F$162+'Calc (LRMC Planning case)'!F$137*'Calc (LRMC Planning case)'!F$163+'Calc (LRMC Planning case)'!F$152*'Calc (LRMC Planning case)'!F$164)</f>
        <v>2.0333831431372906</v>
      </c>
      <c r="G31" s="84">
        <f ca="1">IF(LEFT(A23,5)="blank",0,'Calc (LRMC Planning case)'!G$92*'Calc (LRMC Planning case)'!G$160+'Calc (LRMC Planning case)'!G$107*'Calc (LRMC Planning case)'!G$161+'Calc (LRMC Planning case)'!G$122*'Calc (LRMC Planning case)'!G$162+'Calc (LRMC Planning case)'!G$137*'Calc (LRMC Planning case)'!G$163+'Calc (LRMC Planning case)'!G$152*'Calc (LRMC Planning case)'!G$164)</f>
        <v>2.1337153082608444</v>
      </c>
      <c r="H31" s="84">
        <f ca="1">IF(LEFT(A23,5)="blank",0,'Calc (LRMC Planning case)'!H$92*'Calc (LRMC Planning case)'!H$160+'Calc (LRMC Planning case)'!H$107*'Calc (LRMC Planning case)'!H$161+'Calc (LRMC Planning case)'!H$122*'Calc (LRMC Planning case)'!H$162+'Calc (LRMC Planning case)'!H$137*'Calc (LRMC Planning case)'!H$163+'Calc (LRMC Planning case)'!H$152*'Calc (LRMC Planning case)'!H$164)</f>
        <v>2.2684870498171557</v>
      </c>
    </row>
    <row r="32" spans="1:13" ht="17.25" thickBot="1" x14ac:dyDescent="0.35">
      <c r="A32" s="11" t="str">
        <f t="shared" si="0"/>
        <v>Large Scale Renewable Energy Target</v>
      </c>
      <c r="B32"/>
      <c r="C32" t="s">
        <v>71</v>
      </c>
      <c r="D32"/>
      <c r="E32" s="84">
        <f ca="1">IF(LEFT(A23,5)="blank",0,'Calc (LRMC Planning case)'!$E$93*'Calc (LRMC Planning case)'!$E$160+'Calc (LRMC Planning case)'!$E$108*'Calc (LRMC Planning case)'!$E$161+'Calc (LRMC Planning case)'!$E$123*'Calc (LRMC Planning case)'!$E$162+'Calc (LRMC Planning case)'!$E$138*'Calc (LRMC Planning case)'!$E$163+'Calc (LRMC Planning case)'!$E$153*'Calc (LRMC Planning case)'!$E$164)</f>
        <v>0.27242894063629625</v>
      </c>
      <c r="F32" s="84">
        <f ca="1">IF(LEFT(A23,5)="blank",0,'Calc (LRMC Planning case)'!$F$93*'Calc (LRMC Planning case)'!$F$160+'Calc (LRMC Planning case)'!$F$108*'Calc (LRMC Planning case)'!$F$161+'Calc (LRMC Planning case)'!$F$123*'Calc (LRMC Planning case)'!$F$162+'Calc (LRMC Planning case)'!$F$138*'Calc (LRMC Planning case)'!$F$163+'Calc (LRMC Planning case)'!$F$153*'Calc (LRMC Planning case)'!$F$164)</f>
        <v>0.45505302506099338</v>
      </c>
      <c r="G32" s="84">
        <f ca="1">IF(LEFT(A23,5)="blank",0,'Calc (LRMC Planning case)'!$G$93*'Calc (LRMC Planning case)'!$G$160+'Calc (LRMC Planning case)'!$G$108*'Calc (LRMC Planning case)'!$G$161+'Calc (LRMC Planning case)'!$G$123*'Calc (LRMC Planning case)'!$G$162+'Calc (LRMC Planning case)'!$G$138*'Calc (LRMC Planning case)'!$G$163+'Calc (LRMC Planning case)'!$G$153*'Calc (LRMC Planning case)'!$G$164)</f>
        <v>0.48761504466278616</v>
      </c>
      <c r="H32" s="84">
        <f ca="1">IF(LEFT(A23,5)="blank",0,'Calc (LRMC Planning case)'!$H$93*'Calc (LRMC Planning case)'!$H$160+'Calc (LRMC Planning case)'!$H$108*'Calc (LRMC Planning case)'!$H$161+'Calc (LRMC Planning case)'!$H$123*'Calc (LRMC Planning case)'!$H$162+'Calc (LRMC Planning case)'!$H$138*'Calc (LRMC Planning case)'!$H$163+'Calc (LRMC Planning case)'!$H$153*'Calc (LRMC Planning case)'!$H$164)</f>
        <v>0.51636315180425818</v>
      </c>
    </row>
    <row r="33" spans="1:13" ht="17.25" thickBot="1" x14ac:dyDescent="0.35">
      <c r="A33" s="11" t="str">
        <f t="shared" si="0"/>
        <v>Small Scale Renewable Energy Scheme</v>
      </c>
      <c r="B33"/>
      <c r="C33" t="s">
        <v>71</v>
      </c>
      <c r="D33"/>
      <c r="E33" s="84">
        <f ca="1">IF(LEFT(A23,5)="blank",0,'Calc (LRMC Planning case)'!$E$94*'Calc (LRMC Planning case)'!$E$160+'Calc (LRMC Planning case)'!$E$109*'Calc (LRMC Planning case)'!$E$161+'Calc (LRMC Planning case)'!$E$124*'Calc (LRMC Planning case)'!$E$162+'Calc (LRMC Planning case)'!$E$139*'Calc (LRMC Planning case)'!$E$163+'Calc (LRMC Planning case)'!$E$154*'Calc (LRMC Planning case)'!$E$164)</f>
        <v>0.62320831075477701</v>
      </c>
      <c r="F33" s="84">
        <f ca="1">IF(LEFT(A23,5)="blank",0,'Calc (LRMC Planning case)'!$F$94*'Calc (LRMC Planning case)'!$F$160+'Calc (LRMC Planning case)'!$F$109*'Calc (LRMC Planning case)'!$F$161+'Calc (LRMC Planning case)'!$F$124*'Calc (LRMC Planning case)'!$F$162+'Calc (LRMC Planning case)'!$F$139*'Calc (LRMC Planning case)'!$F$163+'Calc (LRMC Planning case)'!$F$154*'Calc (LRMC Planning case)'!$F$164)</f>
        <v>0.55992165725799836</v>
      </c>
      <c r="G33" s="84">
        <f ca="1">IF(LEFT(A23,5)="blank",0,'Calc (LRMC Planning case)'!$G$94*'Calc (LRMC Planning case)'!$G$160+'Calc (LRMC Planning case)'!$G$109*'Calc (LRMC Planning case)'!$G$161+'Calc (LRMC Planning case)'!$G$124*'Calc (LRMC Planning case)'!$G$162+'Calc (LRMC Planning case)'!$G$139*'Calc (LRMC Planning case)'!$G$163+'Calc (LRMC Planning case)'!$G$154*'Calc (LRMC Planning case)'!$G$164)</f>
        <v>0.24643573880571468</v>
      </c>
      <c r="H33" s="84">
        <f ca="1">IF(LEFT(A23,5)="blank",0,'Calc (LRMC Planning case)'!$H$94*'Calc (LRMC Planning case)'!$H$160+'Calc (LRMC Planning case)'!$H$109*'Calc (LRMC Planning case)'!$H$161+'Calc (LRMC Planning case)'!$H$124*'Calc (LRMC Planning case)'!$H$162+'Calc (LRMC Planning case)'!$H$139*'Calc (LRMC Planning case)'!$H$163+'Calc (LRMC Planning case)'!$H$154*'Calc (LRMC Planning case)'!$H$164)</f>
        <v>0.214139317195849</v>
      </c>
    </row>
    <row r="34" spans="1:13" ht="17.25" thickBot="1" x14ac:dyDescent="0.35">
      <c r="A34" s="11" t="str">
        <f t="shared" si="0"/>
        <v>Energy savings</v>
      </c>
      <c r="B34"/>
      <c r="C34" t="s">
        <v>71</v>
      </c>
      <c r="D34"/>
      <c r="E34" s="84">
        <f ca="1">IF(LEFT(A23,5)="blank",0,'Calc (LRMC Planning case)'!$E$95*'Calc (LRMC Planning case)'!$E$160+'Calc (LRMC Planning case)'!$E$110*'Calc (LRMC Planning case)'!$E$161+'Calc (LRMC Planning case)'!$E$125*'Calc (LRMC Planning case)'!$E$162+'Calc (LRMC Planning case)'!$E$140*'Calc (LRMC Planning case)'!$E$163+'Calc (LRMC Planning case)'!$E$155*'Calc (LRMC Planning case)'!$E$164)</f>
        <v>0.11172499999999999</v>
      </c>
      <c r="F34" s="84">
        <f ca="1">IF(LEFT(A23,5)="blank",0,'Calc (LRMC Planning case)'!$F$95*'Calc (LRMC Planning case)'!$F$160+'Calc (LRMC Planning case)'!$F$110*'Calc (LRMC Planning case)'!$F$161+'Calc (LRMC Planning case)'!$F$125*'Calc (LRMC Planning case)'!$F$162+'Calc (LRMC Planning case)'!$F$140*'Calc (LRMC Planning case)'!$F$163+'Calc (LRMC Planning case)'!$F$155*'Calc (LRMC Planning case)'!$F$164)</f>
        <v>0.15494958761426933</v>
      </c>
      <c r="G34" s="84">
        <f ca="1">IF(LEFT(A23,5)="blank",0,'Calc (LRMC Planning case)'!$G$95*'Calc (LRMC Planning case)'!$G$160+'Calc (LRMC Planning case)'!$G$110*'Calc (LRMC Planning case)'!$G$161+'Calc (LRMC Planning case)'!$G$125*'Calc (LRMC Planning case)'!$G$162+'Calc (LRMC Planning case)'!$G$140*'Calc (LRMC Planning case)'!$G$163+'Calc (LRMC Planning case)'!$G$155*'Calc (LRMC Planning case)'!$G$164)</f>
        <v>0</v>
      </c>
      <c r="H34" s="84">
        <f ca="1">IF(LEFT(A23,5)="blank",0,'Calc (LRMC Planning case)'!$H$95*'Calc (LRMC Planning case)'!$H$160+'Calc (LRMC Planning case)'!$H$110*'Calc (LRMC Planning case)'!$H$161+'Calc (LRMC Planning case)'!$H$125*'Calc (LRMC Planning case)'!$H$162+'Calc (LRMC Planning case)'!$H$140*'Calc (LRMC Planning case)'!$H$163+'Calc (LRMC Planning case)'!$H$155*'Calc (LRMC Planning case)'!$H$164)</f>
        <v>0</v>
      </c>
    </row>
    <row r="35" spans="1:13" ht="17.25" thickBot="1" x14ac:dyDescent="0.35">
      <c r="A35" s="11" t="str">
        <f t="shared" si="0"/>
        <v>Blank</v>
      </c>
      <c r="B35"/>
      <c r="C35" t="s">
        <v>71</v>
      </c>
      <c r="D35"/>
      <c r="E35" s="84">
        <f ca="1">IF(LEFT(A23,5)="blank",0,'Calc (LRMC Planning case)'!$E$96*'Calc (LRMC Planning case)'!$E$160+'Calc (LRMC Planning case)'!$E$111*'Calc (LRMC Planning case)'!$E$161+'Calc (LRMC Planning case)'!$E$126*'Calc (LRMC Planning case)'!$E$162+'Calc (LRMC Planning case)'!$E$141*'Calc (LRMC Planning case)'!$E$163+'Calc (LRMC Planning case)'!$E$156*'Calc (LRMC Planning case)'!$E$164)</f>
        <v>0</v>
      </c>
      <c r="F35" s="84">
        <f ca="1">IF(LEFT(A23,5)="blank",0,'Calc (LRMC Planning case)'!$F$96*'Calc (LRMC Planning case)'!$F$160+'Calc (LRMC Planning case)'!$F$111*'Calc (LRMC Planning case)'!$F$161+'Calc (LRMC Planning case)'!$F$126*'Calc (LRMC Planning case)'!$F$162+'Calc (LRMC Planning case)'!$F$141*'Calc (LRMC Planning case)'!$F$163+'Calc (LRMC Planning case)'!$F$156*'Calc (LRMC Planning case)'!$G$18)</f>
        <v>0</v>
      </c>
      <c r="G35" s="84">
        <f ca="1">IF(LEFT(A23,5)="blank",0,'Calc (LRMC Planning case)'!$G$96*'Calc (LRMC Planning case)'!$G$160+'Calc (LRMC Planning case)'!$G$111*'Calc (LRMC Planning case)'!$G$161+'Calc (LRMC Planning case)'!$G$126*'Calc (LRMC Planning case)'!$G$162+'Calc (LRMC Planning case)'!$G$141*'Calc (LRMC Planning case)'!$G$163+'Calc (LRMC Planning case)'!$G$156*'Calc (LRMC Planning case)'!$G$164)</f>
        <v>0</v>
      </c>
      <c r="H35" s="84">
        <f ca="1">IF(LEFT(A23,5)="blank",0,'Calc (LRMC Planning case)'!$H$96*'Calc (LRMC Planning case)'!$H$160+'Calc (LRMC Planning case)'!$H$111*'Calc (LRMC Planning case)'!$H$161+'Calc (LRMC Planning case)'!$H$126*'Calc (LRMC Planning case)'!$H$162+'Calc (LRMC Planning case)'!$H$141*'Calc (LRMC Planning case)'!$H$163+'Calc (LRMC Planning case)'!$H$156*'Calc (LRMC Planning case)'!$H$164)</f>
        <v>0</v>
      </c>
      <c r="J35" s="29"/>
      <c r="K35" s="29"/>
      <c r="L35" s="29"/>
      <c r="M35" s="29"/>
    </row>
    <row r="36" spans="1:13" ht="17.25" thickBot="1" x14ac:dyDescent="0.35">
      <c r="A36" t="str">
        <f>A21</f>
        <v>Total</v>
      </c>
      <c r="B36"/>
      <c r="C36" t="s">
        <v>71</v>
      </c>
      <c r="D36"/>
      <c r="E36" s="84">
        <f ca="1">SUM(E24:E35)</f>
        <v>25.415712938136757</v>
      </c>
      <c r="F36" s="84">
        <f ca="1">SUM(F24:F35)</f>
        <v>30.416355852573126</v>
      </c>
      <c r="G36" s="84">
        <f ca="1">SUM(G24:G35)</f>
        <v>29.80108514702799</v>
      </c>
      <c r="H36" s="84">
        <f ca="1">SUM(H24:H35)</f>
        <v>30.738051435735546</v>
      </c>
      <c r="J36" s="29"/>
      <c r="K36" s="29"/>
      <c r="L36" s="29"/>
      <c r="M36" s="29"/>
    </row>
    <row r="37" spans="1:13" x14ac:dyDescent="0.3">
      <c r="A37"/>
      <c r="B37"/>
      <c r="C37"/>
      <c r="D37"/>
      <c r="E37" s="89"/>
      <c r="F37" s="89"/>
      <c r="G37" s="89"/>
      <c r="H37" s="89"/>
    </row>
    <row r="38" spans="1:13" ht="17.25" thickBot="1" x14ac:dyDescent="0.35">
      <c r="A38" s="91" t="str">
        <f ca="1">'Calc (LRMC Slow Rate)'!B2</f>
        <v>Calc (LRMC Slow Rate)</v>
      </c>
      <c r="B38"/>
      <c r="C38"/>
      <c r="D38"/>
      <c r="E38" s="89"/>
      <c r="F38" s="89"/>
      <c r="G38" s="89"/>
      <c r="H38" s="89"/>
    </row>
    <row r="39" spans="1:13" ht="17.25" thickBot="1" x14ac:dyDescent="0.35">
      <c r="A39" t="str">
        <f>A24</f>
        <v>Wholesale</v>
      </c>
      <c r="B39"/>
      <c r="C39" t="s">
        <v>71</v>
      </c>
      <c r="D39"/>
      <c r="E39" s="84">
        <f ca="1">IF(LEFT(A38,5)="blank",0,'Calc (LRMC Slow Rate)'!$E$85*'Calc (LRMC Slow Rate)'!$E$160+'Calc (LRMC Slow Rate)'!$E$100*'Calc (LRMC Slow Rate)'!$E$161+'Calc (LRMC Slow Rate)'!$E$115*'Calc (LRMC Slow Rate)'!$E$162+'Calc (LRMC Slow Rate)'!$E$130*'Calc (LRMC Slow Rate)'!$E$163+'Calc (LRMC Slow Rate)'!$E$145*'Calc (LRMC Slow Rate)'!$E$164)</f>
        <v>7.4317900083507746</v>
      </c>
      <c r="F39" s="84">
        <f ca="1">IF(LEFT(A38,5)="blank",0,'Calc (LRMC Slow Rate)'!$F$85*'Calc (LRMC Slow Rate)'!$F$160+'Calc (LRMC Slow Rate)'!$F$100*'Calc (LRMC Slow Rate)'!$F$161+'Calc (LRMC Slow Rate)'!$F$115*'Calc (LRMC Slow Rate)'!$F$162+'Calc (LRMC Slow Rate)'!$F$130*'Calc (LRMC Slow Rate)'!$F$163+'Calc (LRMC Slow Rate)'!$F$145*'Calc (LRMC Slow Rate)'!$F$164)</f>
        <v>7.584943753917111</v>
      </c>
      <c r="G39" s="84">
        <f ca="1">IF(LEFT(A38,5)="blank",0,'Calc (LRMC Slow Rate)'!$G$85*'Calc (LRMC Slow Rate)'!$G$160+'Calc (LRMC Slow Rate)'!$G$100*'Calc (LRMC Slow Rate)'!$G$161+'Calc (LRMC Slow Rate)'!$G$115*'Calc (LRMC Slow Rate)'!$G$162+'Calc (LRMC Slow Rate)'!$G$130*'Calc (LRMC Slow Rate)'!$G$163+'Calc (LRMC Slow Rate)'!$G$145*'Calc (LRMC Slow Rate)'!$G$164)</f>
        <v>7.1068592618542397</v>
      </c>
      <c r="H39" s="84">
        <f ca="1">IF(LEFT(A38,5)="blank",0,'Calc (LRMC Slow Rate)'!$H$85*'Calc (LRMC Slow Rate)'!$H$160+'Calc (LRMC Slow Rate)'!$H$100*'Calc (LRMC Slow Rate)'!$H$161+'Calc (LRMC Slow Rate)'!$H$115*'Calc (LRMC Slow Rate)'!$H$162+'Calc (LRMC Slow Rate)'!$H$130*'Calc (LRMC Slow Rate)'!$H$163+'Calc (LRMC Slow Rate)'!$H$145*'Calc (LRMC Slow Rate)'!$H$164)</f>
        <v>7.2517696375556921</v>
      </c>
    </row>
    <row r="40" spans="1:13" ht="17.25" thickBot="1" x14ac:dyDescent="0.35">
      <c r="A40" t="str">
        <f t="shared" ref="A40:A50" si="1">A25</f>
        <v>Transmission</v>
      </c>
      <c r="B40"/>
      <c r="C40" t="s">
        <v>71</v>
      </c>
      <c r="D40"/>
      <c r="E40" s="84">
        <f ca="1">IF(LEFT(A38,5)="blank",0,'Calc (LRMC Slow Rate)'!$E$86*'Calc (LRMC Slow Rate)'!$E$160+'Calc (LRMC Slow Rate)'!$E$101*'Calc (LRMC Slow Rate)'!$E$161+'Calc (LRMC Slow Rate)'!$E$116*'Calc (LRMC Slow Rate)'!$E$162+'Calc (LRMC Slow Rate)'!$E$131*'Calc (LRMC Slow Rate)'!$E$163+'Calc (LRMC Slow Rate)'!$E$146*'Calc (LRMC Slow Rate)'!$E$164)</f>
        <v>2.1615566278438139</v>
      </c>
      <c r="F40" s="84">
        <f ca="1">IF(LEFT(A38,5)="blank",0,'Calc (LRMC Slow Rate)'!$F$86*'Calc (LRMC Slow Rate)'!$F$160+'Calc (LRMC Slow Rate)'!$F$101*'Calc (LRMC Slow Rate)'!$F$161+'Calc (LRMC Slow Rate)'!$F$116*'Calc (LRMC Slow Rate)'!$F$162+'Calc (LRMC Slow Rate)'!$F$131*'Calc (LRMC Slow Rate)'!$F$163+'Calc (LRMC Slow Rate)'!$F$146*'Calc (LRMC Slow Rate)'!$F$164)</f>
        <v>3.5510793848411084</v>
      </c>
      <c r="G40" s="84">
        <f ca="1">IF(LEFT(A38,5)="blank",0,'Calc (LRMC Slow Rate)'!$G$86*'Calc (LRMC Slow Rate)'!$G$160+'Calc (LRMC Slow Rate)'!$G$101*'Calc (LRMC Slow Rate)'!$G$161+'Calc (LRMC Slow Rate)'!$G$116*'Calc (LRMC Slow Rate)'!$G$162+'Calc (LRMC Slow Rate)'!$G$131*'Calc (LRMC Slow Rate)'!$G$163+'Calc (LRMC Slow Rate)'!$G$146*'Calc (LRMC Slow Rate)'!$G$164)</f>
        <v>3.7984706638230836</v>
      </c>
      <c r="H40" s="84">
        <f ca="1">IF(LEFT(A38,5)="blank",0,'Calc (LRMC Slow Rate)'!$H$86*'Calc (LRMC Slow Rate)'!$H$160+'Calc (LRMC Slow Rate)'!$H$101*'Calc (LRMC Slow Rate)'!$H$161+'Calc (LRMC Slow Rate)'!$H$116*'Calc (LRMC Slow Rate)'!$H$162+'Calc (LRMC Slow Rate)'!$H$131*'Calc (LRMC Slow Rate)'!$H$163+'Calc (LRMC Slow Rate)'!$H$146*'Calc (LRMC Slow Rate)'!$H$164)</f>
        <v>4.0630968278311732</v>
      </c>
    </row>
    <row r="41" spans="1:13" ht="17.25" thickBot="1" x14ac:dyDescent="0.35">
      <c r="A41" t="str">
        <f t="shared" si="1"/>
        <v>Distribution</v>
      </c>
      <c r="B41"/>
      <c r="C41" t="s">
        <v>71</v>
      </c>
      <c r="D41"/>
      <c r="E41" s="84">
        <f ca="1">IF(LEFT(A38,5)="blank",0,'Calc (LRMC Slow Rate)'!$E$87*'Calc (LRMC Slow Rate)'!$E$160+'Calc (LRMC Slow Rate)'!$E$102*'Calc (LRMC Slow Rate)'!$E$161+'Calc (LRMC Slow Rate)'!$E$117*'Calc (LRMC Slow Rate)'!$E$162+'Calc (LRMC Slow Rate)'!$E$132*'Calc (LRMC Slow Rate)'!$E$163+'Calc (LRMC Slow Rate)'!$E$147*'Calc (LRMC Slow Rate)'!$E$164)</f>
        <v>11.919452546929623</v>
      </c>
      <c r="F41" s="84">
        <f ca="1">IF(LEFT(A38,5)="blank",0,'Calc (LRMC Slow Rate)'!$F$87*'Calc (LRMC Slow Rate)'!$F$160+'Calc (LRMC Slow Rate)'!$F$102*'Calc (LRMC Slow Rate)'!$F$161+'Calc (LRMC Slow Rate)'!$F$117*'Calc (LRMC Slow Rate)'!$F$162+'Calc (LRMC Slow Rate)'!$F$132*'Calc (LRMC Slow Rate)'!$F$163+'Calc (LRMC Slow Rate)'!$F$147*'Calc (LRMC Slow Rate)'!$F$164)</f>
        <v>11.78218200110971</v>
      </c>
      <c r="G41" s="84">
        <f ca="1">IF(LEFT(A38,5)="blank",0,'Calc (LRMC Slow Rate)'!$G$87*'Calc (LRMC Slow Rate)'!$G$160+'Calc (LRMC Slow Rate)'!$G$102*'Calc (LRMC Slow Rate)'!$G$161+'Calc (LRMC Slow Rate)'!$G$117*'Calc (LRMC Slow Rate)'!$G$162+'Calc (LRMC Slow Rate)'!$G$132*'Calc (LRMC Slow Rate)'!$G$163+'Calc (LRMC Slow Rate)'!$G$147*'Calc (LRMC Slow Rate)'!$G$164)</f>
        <v>11.53458838355019</v>
      </c>
      <c r="H41" s="84">
        <f ca="1">IF(LEFT(A38,5)="blank",0,'Calc (LRMC Slow Rate)'!$H$87*'Calc (LRMC Slow Rate)'!$H$160+'Calc (LRMC Slow Rate)'!$H$102*'Calc (LRMC Slow Rate)'!$H$161+'Calc (LRMC Slow Rate)'!$H$117*'Calc (LRMC Slow Rate)'!$H$162+'Calc (LRMC Slow Rate)'!$H$132*'Calc (LRMC Slow Rate)'!$H$163+'Calc (LRMC Slow Rate)'!$H$147*'Calc (LRMC Slow Rate)'!$H$164)</f>
        <v>11.862439060112891</v>
      </c>
    </row>
    <row r="42" spans="1:13" ht="17.25" thickBot="1" x14ac:dyDescent="0.35">
      <c r="A42" t="str">
        <f t="shared" si="1"/>
        <v>Retail</v>
      </c>
      <c r="B42"/>
      <c r="C42" t="s">
        <v>71</v>
      </c>
      <c r="D42"/>
      <c r="E42" s="84">
        <f ca="1">IF(LEFT(A38,5)="blank",0,'Calc (LRMC Slow Rate)'!$E$88*'Calc (LRMC Slow Rate)'!$E$160+'Calc (LRMC Slow Rate)'!$E$103*'Calc (LRMC Slow Rate)'!$E$161+'Calc (LRMC Slow Rate)'!$E$118*'Calc (LRMC Slow Rate)'!$E$162+'Calc (LRMC Slow Rate)'!$E$133*'Calc (LRMC Slow Rate)'!$E$163+'Calc (LRMC Slow Rate)'!$E$148*'Calc (LRMC Slow Rate)'!$E$164)</f>
        <v>1.3914543736581693</v>
      </c>
      <c r="F42" s="84">
        <f ca="1">IF(LEFT(A38,5)="blank",0,'Calc (LRMC Slow Rate)'!$F$88*'Calc (LRMC Slow Rate)'!$F$160+'Calc (LRMC Slow Rate)'!$F$103*'Calc (LRMC Slow Rate)'!$F$161+'Calc (LRMC Slow Rate)'!$F$118*'Calc (LRMC Slow Rate)'!$F$162+'Calc (LRMC Slow Rate)'!$F$133*'Calc (LRMC Slow Rate)'!$F$163+'Calc (LRMC Slow Rate)'!$F$148*'Calc (LRMC Slow Rate)'!$F$164)</f>
        <v>1.4569907329996232</v>
      </c>
      <c r="G42" s="84">
        <f ca="1">IF(LEFT(A38,5)="blank",0,'Calc (LRMC Slow Rate)'!$G$88*'Calc (LRMC Slow Rate)'!$G$160+'Calc (LRMC Slow Rate)'!$G$103*'Calc (LRMC Slow Rate)'!$G$161+'Calc (LRMC Slow Rate)'!$G$118*'Calc (LRMC Slow Rate)'!$G$162+'Calc (LRMC Slow Rate)'!$G$133*'Calc (LRMC Slow Rate)'!$G$163+'Calc (LRMC Slow Rate)'!$G$148*'Calc (LRMC Slow Rate)'!$G$164)</f>
        <v>1.4934155013246138</v>
      </c>
      <c r="H42" s="84">
        <f ca="1">IF(LEFT(A38,5)="blank",0,'Calc (LRMC Slow Rate)'!$H$88*'Calc (LRMC Slow Rate)'!$H$160+'Calc (LRMC Slow Rate)'!$H$103*'Calc (LRMC Slow Rate)'!$H$161+'Calc (LRMC Slow Rate)'!$H$118*'Calc (LRMC Slow Rate)'!$H$162+'Calc (LRMC Slow Rate)'!$H$133*'Calc (LRMC Slow Rate)'!$H$163+'Calc (LRMC Slow Rate)'!$H$148*'Calc (LRMC Slow Rate)'!$H$164)</f>
        <v>1.5307508888577288</v>
      </c>
    </row>
    <row r="43" spans="1:13" ht="17.25" thickBot="1" x14ac:dyDescent="0.35">
      <c r="A43" t="str">
        <f t="shared" si="1"/>
        <v>Retail and Residual</v>
      </c>
      <c r="B43"/>
      <c r="C43" t="s">
        <v>71</v>
      </c>
      <c r="D43"/>
      <c r="E43" s="84">
        <f ca="1">IF(LEFT(A38,5)="blank",0,'Calc (LRMC Slow Rate)'!$E$89*'Calc (LRMC Slow Rate)'!$E$160+'Calc (LRMC Slow Rate)'!$E$104*'Calc (LRMC Slow Rate)'!$E$161+'Calc (LRMC Slow Rate)'!$E$119*'Calc (LRMC Slow Rate)'!$E$162+'Calc (LRMC Slow Rate)'!$E$134*'Calc (LRMC Slow Rate)'!$E$163+'Calc (LRMC Slow Rate)'!$E$149*'Calc (LRMC Slow Rate)'!$E$164)</f>
        <v>1.3021333004358491</v>
      </c>
      <c r="F43" s="84">
        <f ca="1">IF(LEFT(A38,5)="blank",0,'Calc (LRMC Slow Rate)'!$F$89*'Calc (LRMC Slow Rate)'!$F$160+'Calc (LRMC Slow Rate)'!$F$104*'Calc (LRMC Slow Rate)'!$F$161+'Calc (LRMC Slow Rate)'!$F$119*'Calc (LRMC Slow Rate)'!$F$162+'Calc (LRMC Slow Rate)'!$F$134*'Calc (LRMC Slow Rate)'!$F$163+'Calc (LRMC Slow Rate)'!$F$149*'Calc (LRMC Slow Rate)'!$F$164)</f>
        <v>1.5583332220483386</v>
      </c>
      <c r="G43" s="84">
        <f ca="1">IF(LEFT(A38,5)="blank",0,'Calc (LRMC Slow Rate)'!$G$89*'Calc (LRMC Slow Rate)'!$G$160+'Calc (LRMC Slow Rate)'!$G$104*'Calc (LRMC Slow Rate)'!$G$161+'Calc (LRMC Slow Rate)'!$G$119*'Calc (LRMC Slow Rate)'!$G$162+'Calc (LRMC Slow Rate)'!$G$134*'Calc (LRMC Slow Rate)'!$G$163+'Calc (LRMC Slow Rate)'!$G$149*'Calc (LRMC Slow Rate)'!$G$164)</f>
        <v>1.5335506167317099</v>
      </c>
      <c r="H43" s="84">
        <f ca="1">IF(LEFT(A38,5)="blank",0,'Calc (LRMC Slow Rate)'!$H$89*'Calc (LRMC Slow Rate)'!$H$160+'Calc (LRMC Slow Rate)'!$H$104*'Calc (LRMC Slow Rate)'!$H$161+'Calc (LRMC Slow Rate)'!$H$119*'Calc (LRMC Slow Rate)'!$H$162+'Calc (LRMC Slow Rate)'!$H$134*'Calc (LRMC Slow Rate)'!$H$163+'Calc (LRMC Slow Rate)'!$H$149*'Calc (LRMC Slow Rate)'!$H$164)</f>
        <v>1.580347651392495</v>
      </c>
    </row>
    <row r="44" spans="1:13" ht="17.25" thickBot="1" x14ac:dyDescent="0.35">
      <c r="A44" t="str">
        <f t="shared" si="1"/>
        <v>Green Schemes</v>
      </c>
      <c r="B44"/>
      <c r="C44"/>
      <c r="D44"/>
      <c r="E44" s="89"/>
      <c r="F44" s="90"/>
      <c r="G44" s="89"/>
      <c r="H44" s="89"/>
    </row>
    <row r="45" spans="1:13" ht="17.25" thickBot="1" x14ac:dyDescent="0.35">
      <c r="A45" s="11" t="str">
        <f t="shared" si="1"/>
        <v>Feed-in Tariffs</v>
      </c>
      <c r="B45"/>
      <c r="C45" t="s">
        <v>71</v>
      </c>
      <c r="D45"/>
      <c r="E45" s="84">
        <f ca="1">IF(LEFT(A38,5)="blank",0,'Calc (LRMC Slow Rate)'!E$91*'Calc (LRMC Slow Rate)'!E$160+'Calc (LRMC Slow Rate)'!E$106*'Calc (LRMC Slow Rate)'!E$161+'Calc (LRMC Slow Rate)'!E$121*'Calc (LRMC Slow Rate)'!E$162+'Calc (LRMC Slow Rate)'!E$136*'Calc (LRMC Slow Rate)'!E$163+'Calc (LRMC Slow Rate)'!E$151*'Calc (LRMC Slow Rate)'!E$164)</f>
        <v>0.20196382952745356</v>
      </c>
      <c r="F45" s="84">
        <f ca="1">IF(LEFT(A38,5)="blank",0,'Calc (LRMC Slow Rate)'!F$91*'Calc (LRMC Slow Rate)'!F$160+'Calc (LRMC Slow Rate)'!F$106*'Calc (LRMC Slow Rate)'!F$161+'Calc (LRMC Slow Rate)'!F$121*'Calc (LRMC Slow Rate)'!F$162+'Calc (LRMC Slow Rate)'!F$136*'Calc (LRMC Slow Rate)'!F$163+'Calc (LRMC Slow Rate)'!F$151*'Calc (LRMC Slow Rate)'!F$164)</f>
        <v>1.2795193445866802</v>
      </c>
      <c r="G45" s="84">
        <f ca="1">IF(LEFT(A38,5)="blank",0,'Calc (LRMC Slow Rate)'!G$91*'Calc (LRMC Slow Rate)'!G$160+'Calc (LRMC Slow Rate)'!G$106*'Calc (LRMC Slow Rate)'!G$161+'Calc (LRMC Slow Rate)'!G$121*'Calc (LRMC Slow Rate)'!G$162+'Calc (LRMC Slow Rate)'!G$136*'Calc (LRMC Slow Rate)'!G$163+'Calc (LRMC Slow Rate)'!G$151*'Calc (LRMC Slow Rate)'!G$164)</f>
        <v>1.5794386789577981</v>
      </c>
      <c r="H45" s="84">
        <f ca="1">IF(LEFT(A38,5)="blank",0,'Calc (LRMC Slow Rate)'!H$91*'Calc (LRMC Slow Rate)'!H$160+'Calc (LRMC Slow Rate)'!H$106*'Calc (LRMC Slow Rate)'!H$161+'Calc (LRMC Slow Rate)'!H$121*'Calc (LRMC Slow Rate)'!H$162+'Calc (LRMC Slow Rate)'!H$136*'Calc (LRMC Slow Rate)'!H$163+'Calc (LRMC Slow Rate)'!H$151*'Calc (LRMC Slow Rate)'!H$164)</f>
        <v>1.5794386789577981</v>
      </c>
    </row>
    <row r="46" spans="1:13" ht="17.25" thickBot="1" x14ac:dyDescent="0.35">
      <c r="A46" s="11" t="str">
        <f t="shared" si="1"/>
        <v>Carbon costs</v>
      </c>
      <c r="B46"/>
      <c r="C46" t="s">
        <v>71</v>
      </c>
      <c r="D46"/>
      <c r="E46" s="84">
        <f ca="1">IF(LEFT(A38,5)="blank",0,'Calc (LRMC Slow Rate)'!E$92*'Calc (LRMC Slow Rate)'!E$160+'Calc (LRMC Slow Rate)'!E$107*'Calc (LRMC Slow Rate)'!E$161+'Calc (LRMC Slow Rate)'!E$122*'Calc (LRMC Slow Rate)'!E$162+'Calc (LRMC Slow Rate)'!E$137*'Calc (LRMC Slow Rate)'!E$163+'Calc (LRMC Slow Rate)'!E$152*'Calc (LRMC Slow Rate)'!E$164)</f>
        <v>0</v>
      </c>
      <c r="F46" s="84">
        <f ca="1">IF(LEFT(A38,5)="blank",0,'Calc (LRMC Slow Rate)'!F$92*'Calc (LRMC Slow Rate)'!F$160+'Calc (LRMC Slow Rate)'!F$107*'Calc (LRMC Slow Rate)'!F$161+'Calc (LRMC Slow Rate)'!F$122*'Calc (LRMC Slow Rate)'!F$162+'Calc (LRMC Slow Rate)'!F$137*'Calc (LRMC Slow Rate)'!F$163+'Calc (LRMC Slow Rate)'!F$152*'Calc (LRMC Slow Rate)'!F$164)</f>
        <v>2.0333831431372906</v>
      </c>
      <c r="G46" s="84">
        <f ca="1">IF(LEFT(A38,5)="blank",0,'Calc (LRMC Slow Rate)'!G$92*'Calc (LRMC Slow Rate)'!G$160+'Calc (LRMC Slow Rate)'!G$107*'Calc (LRMC Slow Rate)'!G$161+'Calc (LRMC Slow Rate)'!G$122*'Calc (LRMC Slow Rate)'!G$162+'Calc (LRMC Slow Rate)'!G$137*'Calc (LRMC Slow Rate)'!G$163+'Calc (LRMC Slow Rate)'!G$152*'Calc (LRMC Slow Rate)'!G$164)</f>
        <v>2.1522622048348072</v>
      </c>
      <c r="H46" s="84">
        <f ca="1">IF(LEFT(A38,5)="blank",0,'Calc (LRMC Slow Rate)'!H$92*'Calc (LRMC Slow Rate)'!H$160+'Calc (LRMC Slow Rate)'!H$107*'Calc (LRMC Slow Rate)'!H$161+'Calc (LRMC Slow Rate)'!H$122*'Calc (LRMC Slow Rate)'!H$162+'Calc (LRMC Slow Rate)'!H$137*'Calc (LRMC Slow Rate)'!H$163+'Calc (LRMC Slow Rate)'!H$152*'Calc (LRMC Slow Rate)'!H$164)</f>
        <v>2.2476997453638567</v>
      </c>
    </row>
    <row r="47" spans="1:13" ht="17.25" thickBot="1" x14ac:dyDescent="0.35">
      <c r="A47" s="11" t="str">
        <f t="shared" si="1"/>
        <v>Large Scale Renewable Energy Target</v>
      </c>
      <c r="B47"/>
      <c r="C47" t="s">
        <v>71</v>
      </c>
      <c r="D47"/>
      <c r="E47" s="84">
        <f ca="1">IF(LEFT(A38,5)="blank",0,'Calc (LRMC Slow Rate)'!$E$93*'Calc (LRMC Slow Rate)'!$E$160+'Calc (LRMC Slow Rate)'!$E$108*'Calc (LRMC Slow Rate)'!$E$161+'Calc (LRMC Slow Rate)'!$E$123*'Calc (LRMC Slow Rate)'!$E$162+'Calc (LRMC Slow Rate)'!$E$138*'Calc (LRMC Slow Rate)'!$E$163+'Calc (LRMC Slow Rate)'!$E$153*'Calc (LRMC Slow Rate)'!$E$164)</f>
        <v>0.27242894063629625</v>
      </c>
      <c r="F47" s="84">
        <f ca="1">IF(LEFT(A38,5)="blank",0,'Calc (LRMC Slow Rate)'!$F$93*'Calc (LRMC Slow Rate)'!$F$160+'Calc (LRMC Slow Rate)'!$F$108*'Calc (LRMC Slow Rate)'!$F$161+'Calc (LRMC Slow Rate)'!$F$123*'Calc (LRMC Slow Rate)'!$F$162+'Calc (LRMC Slow Rate)'!$F$138*'Calc (LRMC Slow Rate)'!$F$163+'Calc (LRMC Slow Rate)'!$F$153*'Calc (LRMC Slow Rate)'!$F$164)</f>
        <v>0.45505302506099338</v>
      </c>
      <c r="G47" s="84">
        <f ca="1">IF(LEFT(A38,5)="blank",0,'Calc (LRMC Slow Rate)'!$G$93*'Calc (LRMC Slow Rate)'!$G$160+'Calc (LRMC Slow Rate)'!$G$108*'Calc (LRMC Slow Rate)'!$G$161+'Calc (LRMC Slow Rate)'!$G$123*'Calc (LRMC Slow Rate)'!$G$162+'Calc (LRMC Slow Rate)'!$G$138*'Calc (LRMC Slow Rate)'!$G$163+'Calc (LRMC Slow Rate)'!$G$153*'Calc (LRMC Slow Rate)'!$G$164)</f>
        <v>0.48761506188121834</v>
      </c>
      <c r="H47" s="84">
        <f ca="1">IF(LEFT(A38,5)="blank",0,'Calc (LRMC Slow Rate)'!$H$93*'Calc (LRMC Slow Rate)'!$H$160+'Calc (LRMC Slow Rate)'!$H$108*'Calc (LRMC Slow Rate)'!$H$161+'Calc (LRMC Slow Rate)'!$H$123*'Calc (LRMC Slow Rate)'!$H$162+'Calc (LRMC Slow Rate)'!$H$138*'Calc (LRMC Slow Rate)'!$H$163+'Calc (LRMC Slow Rate)'!$H$153*'Calc (LRMC Slow Rate)'!$H$164)</f>
        <v>0.5163630921341863</v>
      </c>
    </row>
    <row r="48" spans="1:13" ht="17.25" thickBot="1" x14ac:dyDescent="0.35">
      <c r="A48" s="11" t="str">
        <f t="shared" si="1"/>
        <v>Small Scale Renewable Energy Scheme</v>
      </c>
      <c r="B48"/>
      <c r="C48" t="s">
        <v>71</v>
      </c>
      <c r="D48"/>
      <c r="E48" s="84">
        <f ca="1">IF(LEFT(A38,5)="blank",0,'Calc (LRMC Slow Rate)'!$E$94*'Calc (LRMC Slow Rate)'!$E$160+'Calc (LRMC Slow Rate)'!$E$109*'Calc (LRMC Slow Rate)'!$E$161+'Calc (LRMC Slow Rate)'!$E$124*'Calc (LRMC Slow Rate)'!$E$162+'Calc (LRMC Slow Rate)'!$E$139*'Calc (LRMC Slow Rate)'!$E$163+'Calc (LRMC Slow Rate)'!$E$154*'Calc (LRMC Slow Rate)'!$E$164)</f>
        <v>0.62320831075477701</v>
      </c>
      <c r="F48" s="84">
        <f ca="1">IF(LEFT(A38,5)="blank",0,'Calc (LRMC Slow Rate)'!$F$94*'Calc (LRMC Slow Rate)'!$F$160+'Calc (LRMC Slow Rate)'!$F$109*'Calc (LRMC Slow Rate)'!$F$161+'Calc (LRMC Slow Rate)'!$F$124*'Calc (LRMC Slow Rate)'!$F$162+'Calc (LRMC Slow Rate)'!$F$139*'Calc (LRMC Slow Rate)'!$F$163+'Calc (LRMC Slow Rate)'!$F$154*'Calc (LRMC Slow Rate)'!$F$164)</f>
        <v>0.55992165725799836</v>
      </c>
      <c r="G48" s="84">
        <f ca="1">IF(LEFT(A38,5)="blank",0,'Calc (LRMC Slow Rate)'!$G$94*'Calc (LRMC Slow Rate)'!$G$160+'Calc (LRMC Slow Rate)'!$G$109*'Calc (LRMC Slow Rate)'!$G$161+'Calc (LRMC Slow Rate)'!$G$124*'Calc (LRMC Slow Rate)'!$G$162+'Calc (LRMC Slow Rate)'!$G$139*'Calc (LRMC Slow Rate)'!$G$163+'Calc (LRMC Slow Rate)'!$G$154*'Calc (LRMC Slow Rate)'!$G$164)</f>
        <v>0.24643573880571468</v>
      </c>
      <c r="H48" s="84">
        <f ca="1">IF(LEFT(A38,5)="blank",0,'Calc (LRMC Slow Rate)'!$H$94*'Calc (LRMC Slow Rate)'!$H$160+'Calc (LRMC Slow Rate)'!$H$109*'Calc (LRMC Slow Rate)'!$H$161+'Calc (LRMC Slow Rate)'!$H$124*'Calc (LRMC Slow Rate)'!$H$162+'Calc (LRMC Slow Rate)'!$H$139*'Calc (LRMC Slow Rate)'!$H$163+'Calc (LRMC Slow Rate)'!$H$154*'Calc (LRMC Slow Rate)'!$H$164)</f>
        <v>0.214139317195849</v>
      </c>
    </row>
    <row r="49" spans="1:13" ht="17.25" thickBot="1" x14ac:dyDescent="0.35">
      <c r="A49" s="11" t="str">
        <f t="shared" si="1"/>
        <v>Energy savings</v>
      </c>
      <c r="B49"/>
      <c r="C49" t="s">
        <v>71</v>
      </c>
      <c r="D49"/>
      <c r="E49" s="84">
        <f ca="1">IF(LEFT(A38,5)="blank",0,'Calc (LRMC Slow Rate)'!$E$95*'Calc (LRMC Slow Rate)'!$E$160+'Calc (LRMC Slow Rate)'!$E$110*'Calc (LRMC Slow Rate)'!$E$161+'Calc (LRMC Slow Rate)'!$E$125*'Calc (LRMC Slow Rate)'!$E$162+'Calc (LRMC Slow Rate)'!$E$140*'Calc (LRMC Slow Rate)'!$E$163+'Calc (LRMC Slow Rate)'!$E$155*'Calc (LRMC Slow Rate)'!$E$164)</f>
        <v>0.11172499999999999</v>
      </c>
      <c r="F49" s="84">
        <f ca="1">IF(LEFT(A38,5)="blank",0,'Calc (LRMC Slow Rate)'!$F$95*'Calc (LRMC Slow Rate)'!$F$160+'Calc (LRMC Slow Rate)'!$F$110*'Calc (LRMC Slow Rate)'!$F$161+'Calc (LRMC Slow Rate)'!$F$125*'Calc (LRMC Slow Rate)'!$F$162+'Calc (LRMC Slow Rate)'!$F$140*'Calc (LRMC Slow Rate)'!$F$163+'Calc (LRMC Slow Rate)'!$F$155*'Calc (LRMC Slow Rate)'!$F$164)</f>
        <v>0.15494958761426933</v>
      </c>
      <c r="G49" s="84">
        <f ca="1">IF(LEFT(A38,5)="blank",0,'Calc (LRMC Slow Rate)'!$G$95*'Calc (LRMC Slow Rate)'!$G$160+'Calc (LRMC Slow Rate)'!$G$110*'Calc (LRMC Slow Rate)'!$G$161+'Calc (LRMC Slow Rate)'!$G$125*'Calc (LRMC Slow Rate)'!$G$162+'Calc (LRMC Slow Rate)'!$G$140*'Calc (LRMC Slow Rate)'!$G$163+'Calc (LRMC Slow Rate)'!$G$155*'Calc (LRMC Slow Rate)'!$G$164)</f>
        <v>0</v>
      </c>
      <c r="H49" s="84">
        <f ca="1">IF(LEFT(A38,5)="blank",0,'Calc (LRMC Slow Rate)'!$H$95*'Calc (LRMC Slow Rate)'!$H$160+'Calc (LRMC Slow Rate)'!$H$110*'Calc (LRMC Slow Rate)'!$H$161+'Calc (LRMC Slow Rate)'!$H$125*'Calc (LRMC Slow Rate)'!$H$162+'Calc (LRMC Slow Rate)'!$H$140*'Calc (LRMC Slow Rate)'!$H$163+'Calc (LRMC Slow Rate)'!$H$155*'Calc (LRMC Slow Rate)'!$H$164)</f>
        <v>0</v>
      </c>
    </row>
    <row r="50" spans="1:13" ht="17.25" thickBot="1" x14ac:dyDescent="0.35">
      <c r="A50" s="11" t="str">
        <f t="shared" si="1"/>
        <v>Blank</v>
      </c>
      <c r="B50"/>
      <c r="C50" t="s">
        <v>71</v>
      </c>
      <c r="D50"/>
      <c r="E50" s="84">
        <f ca="1">IF(LEFT(A38,5)="blank",0,'Calc (LRMC Slow Rate)'!$E$96*'Calc (LRMC Slow Rate)'!$E$160+'Calc (LRMC Slow Rate)'!$E$111*'Calc (LRMC Slow Rate)'!$E$161+'Calc (LRMC Slow Rate)'!$E$126*'Calc (LRMC Slow Rate)'!$E$162+'Calc (LRMC Slow Rate)'!$E$141*'Calc (LRMC Slow Rate)'!$E$163+'Calc (LRMC Slow Rate)'!$E$156*'Calc (LRMC Slow Rate)'!$E$164)</f>
        <v>0</v>
      </c>
      <c r="F50" s="84">
        <f ca="1">IF(LEFT(A38,5)="blank",0,'Calc (LRMC Slow Rate)'!$F$96*'Calc (LRMC Slow Rate)'!$F$160+'Calc (LRMC Slow Rate)'!$F$111*'Calc (LRMC Slow Rate)'!$F$161+'Calc (LRMC Slow Rate)'!$F$126*'Calc (LRMC Slow Rate)'!$F$162+'Calc (LRMC Slow Rate)'!$F$141*'Calc (LRMC Slow Rate)'!$F$163+'Calc (LRMC Slow Rate)'!$F$156*'Calc (LRMC Slow Rate)'!$G$18)</f>
        <v>0</v>
      </c>
      <c r="G50" s="84">
        <f ca="1">IF(LEFT(A38,5)="blank",0,'Calc (LRMC Slow Rate)'!$G$96*'Calc (LRMC Slow Rate)'!$G$160+'Calc (LRMC Slow Rate)'!$G$111*'Calc (LRMC Slow Rate)'!$G$161+'Calc (LRMC Slow Rate)'!$G$126*'Calc (LRMC Slow Rate)'!$G$162+'Calc (LRMC Slow Rate)'!$G$141*'Calc (LRMC Slow Rate)'!$G$163+'Calc (LRMC Slow Rate)'!$G$156*'Calc (LRMC Slow Rate)'!$G$164)</f>
        <v>0</v>
      </c>
      <c r="H50" s="84">
        <f ca="1">IF(LEFT(A38,5)="blank",0,'Calc (LRMC Slow Rate)'!$H$96*'Calc (LRMC Slow Rate)'!$H$160+'Calc (LRMC Slow Rate)'!$H$111*'Calc (LRMC Slow Rate)'!$H$161+'Calc (LRMC Slow Rate)'!$H$126*'Calc (LRMC Slow Rate)'!$H$162+'Calc (LRMC Slow Rate)'!$H$141*'Calc (LRMC Slow Rate)'!$H$163+'Calc (LRMC Slow Rate)'!$H$156*'Calc (LRMC Slow Rate)'!$H$164)</f>
        <v>0</v>
      </c>
      <c r="J50" s="29"/>
      <c r="K50" s="29"/>
      <c r="L50" s="29"/>
      <c r="M50" s="29"/>
    </row>
    <row r="51" spans="1:13" ht="17.25" thickBot="1" x14ac:dyDescent="0.35">
      <c r="A51" t="str">
        <f>A36</f>
        <v>Total</v>
      </c>
      <c r="B51"/>
      <c r="C51" t="s">
        <v>71</v>
      </c>
      <c r="D51"/>
      <c r="E51" s="84">
        <f ca="1">SUM(E39:E50)</f>
        <v>25.415712938136757</v>
      </c>
      <c r="F51" s="84">
        <f ca="1">SUM(F39:F50)</f>
        <v>30.416355852573126</v>
      </c>
      <c r="G51" s="84">
        <f ca="1">SUM(G39:G50)</f>
        <v>29.932636111763376</v>
      </c>
      <c r="H51" s="84">
        <f ca="1">SUM(H39:H50)</f>
        <v>30.846044899401662</v>
      </c>
      <c r="J51" s="29"/>
      <c r="K51" s="29"/>
      <c r="L51" s="29"/>
      <c r="M51" s="29"/>
    </row>
    <row r="52" spans="1:13" x14ac:dyDescent="0.3">
      <c r="A52"/>
      <c r="B52"/>
      <c r="C52"/>
      <c r="D52"/>
      <c r="E52" s="89"/>
      <c r="F52" s="89"/>
      <c r="G52" s="89"/>
      <c r="H52" s="89"/>
    </row>
    <row r="53" spans="1:13" ht="17.25" thickBot="1" x14ac:dyDescent="0.35">
      <c r="A53" s="91" t="str">
        <f ca="1">'Calc (Market Planning Case)'!B2</f>
        <v>Calc (Market Planning Case)</v>
      </c>
      <c r="B53"/>
      <c r="C53"/>
      <c r="D53"/>
      <c r="E53" s="89"/>
      <c r="F53" s="89"/>
      <c r="G53" s="89"/>
      <c r="H53" s="89"/>
    </row>
    <row r="54" spans="1:13" ht="17.25" thickBot="1" x14ac:dyDescent="0.35">
      <c r="A54" t="str">
        <f>A39</f>
        <v>Wholesale</v>
      </c>
      <c r="B54"/>
      <c r="C54" t="s">
        <v>71</v>
      </c>
      <c r="D54"/>
      <c r="E54" s="84">
        <f ca="1">IF(LEFT(A53,5)="blank",0,'Calc (Market Planning Case)'!$E$85*'Calc (Market Planning Case)'!$E$160+'Calc (Market Planning Case)'!$E$100*'Calc (Market Planning Case)'!$E$161+'Calc (Market Planning Case)'!$E$115*'Calc (Market Planning Case)'!$E$162+'Calc (Market Planning Case)'!$E$130*'Calc (Market Planning Case)'!$E$163+'Calc (Market Planning Case)'!$E$145*'Calc (Market Planning Case)'!$E$164)</f>
        <v>7.4317900083507746</v>
      </c>
      <c r="F54" s="84">
        <f ca="1">IF(LEFT(A53,5)="blank",0,'Calc (Market Planning Case)'!$F$85*'Calc (Market Planning Case)'!$F$160+'Calc (Market Planning Case)'!$F$100*'Calc (Market Planning Case)'!$F$161+'Calc (Market Planning Case)'!$F$115*'Calc (Market Planning Case)'!$F$162+'Calc (Market Planning Case)'!$F$130*'Calc (Market Planning Case)'!$F$163+'Calc (Market Planning Case)'!$F$145*'Calc (Market Planning Case)'!$F$164)</f>
        <v>7.584943753917111</v>
      </c>
      <c r="G54" s="84">
        <f ca="1">IF(LEFT(A53,5)="blank",0,'Calc (Market Planning Case)'!$G$85*'Calc (Market Planning Case)'!$G$160+'Calc (Market Planning Case)'!$G$100*'Calc (Market Planning Case)'!$G$161+'Calc (Market Planning Case)'!$G$115*'Calc (Market Planning Case)'!$G$162+'Calc (Market Planning Case)'!$G$130*'Calc (Market Planning Case)'!$G$163+'Calc (Market Planning Case)'!$G$145*'Calc (Market Planning Case)'!$G$164)</f>
        <v>6.676987641195681</v>
      </c>
      <c r="H54" s="84">
        <f ca="1">IF(LEFT(A53,5)="blank",0,'Calc (Market Planning Case)'!$H$85*'Calc (Market Planning Case)'!$H$160+'Calc (Market Planning Case)'!$H$100*'Calc (Market Planning Case)'!$H$161+'Calc (Market Planning Case)'!$H$115*'Calc (Market Planning Case)'!$H$162+'Calc (Market Planning Case)'!$H$130*'Calc (Market Planning Case)'!$H$163+'Calc (Market Planning Case)'!$H$145*'Calc (Market Planning Case)'!$H$164)</f>
        <v>6.9408746355654802</v>
      </c>
    </row>
    <row r="55" spans="1:13" ht="17.25" thickBot="1" x14ac:dyDescent="0.35">
      <c r="A55" t="str">
        <f t="shared" ref="A55:A65" si="2">A40</f>
        <v>Transmission</v>
      </c>
      <c r="B55"/>
      <c r="C55" t="s">
        <v>71</v>
      </c>
      <c r="D55"/>
      <c r="E55" s="84">
        <f ca="1">IF(LEFT(A53,5)="blank",0,'Calc (Market Planning Case)'!$E$86*'Calc (Market Planning Case)'!$E$160+'Calc (Market Planning Case)'!$E$101*'Calc (Market Planning Case)'!$E$161+'Calc (Market Planning Case)'!$E$116*'Calc (Market Planning Case)'!$E$162+'Calc (Market Planning Case)'!$E$131*'Calc (Market Planning Case)'!$E$163+'Calc (Market Planning Case)'!$E$146*'Calc (Market Planning Case)'!$E$164)</f>
        <v>2.1615566278438139</v>
      </c>
      <c r="F55" s="84">
        <f ca="1">IF(LEFT(A53,5)="blank",0,'Calc (Market Planning Case)'!$F$86*'Calc (Market Planning Case)'!$F$160+'Calc (Market Planning Case)'!$F$101*'Calc (Market Planning Case)'!$F$161+'Calc (Market Planning Case)'!$F$116*'Calc (Market Planning Case)'!$F$162+'Calc (Market Planning Case)'!$F$131*'Calc (Market Planning Case)'!$F$163+'Calc (Market Planning Case)'!$F$146*'Calc (Market Planning Case)'!$F$164)</f>
        <v>3.5510793848411084</v>
      </c>
      <c r="G55" s="84">
        <f ca="1">IF(LEFT(A53,5)="blank",0,'Calc (Market Planning Case)'!$G$86*'Calc (Market Planning Case)'!$G$160+'Calc (Market Planning Case)'!$G$101*'Calc (Market Planning Case)'!$G$161+'Calc (Market Planning Case)'!$G$116*'Calc (Market Planning Case)'!$G$162+'Calc (Market Planning Case)'!$G$131*'Calc (Market Planning Case)'!$G$163+'Calc (Market Planning Case)'!$G$146*'Calc (Market Planning Case)'!$G$164)</f>
        <v>3.7984706638230836</v>
      </c>
      <c r="H55" s="84">
        <f ca="1">IF(LEFT(A53,5)="blank",0,'Calc (Market Planning Case)'!$H$86*'Calc (Market Planning Case)'!$H$160+'Calc (Market Planning Case)'!$H$101*'Calc (Market Planning Case)'!$H$161+'Calc (Market Planning Case)'!$H$116*'Calc (Market Planning Case)'!$H$162+'Calc (Market Planning Case)'!$H$131*'Calc (Market Planning Case)'!$H$163+'Calc (Market Planning Case)'!$H$146*'Calc (Market Planning Case)'!$H$164)</f>
        <v>4.0630968278311732</v>
      </c>
    </row>
    <row r="56" spans="1:13" ht="17.25" thickBot="1" x14ac:dyDescent="0.35">
      <c r="A56" t="str">
        <f t="shared" si="2"/>
        <v>Distribution</v>
      </c>
      <c r="B56"/>
      <c r="C56" t="s">
        <v>71</v>
      </c>
      <c r="D56"/>
      <c r="E56" s="84">
        <f ca="1">IF(LEFT(A53,5)="blank",0,'Calc (Market Planning Case)'!$E$87*'Calc (Market Planning Case)'!$E$160+'Calc (Market Planning Case)'!$E$102*'Calc (Market Planning Case)'!$E$161+'Calc (Market Planning Case)'!$E$117*'Calc (Market Planning Case)'!$E$162+'Calc (Market Planning Case)'!$E$132*'Calc (Market Planning Case)'!$E$163+'Calc (Market Planning Case)'!$E$147*'Calc (Market Planning Case)'!$E$164)</f>
        <v>11.919452546929623</v>
      </c>
      <c r="F56" s="84">
        <f ca="1">IF(LEFT(A53,5)="blank",0,'Calc (Market Planning Case)'!$F$87*'Calc (Market Planning Case)'!$F$160+'Calc (Market Planning Case)'!$F$102*'Calc (Market Planning Case)'!$F$161+'Calc (Market Planning Case)'!$F$117*'Calc (Market Planning Case)'!$F$162+'Calc (Market Planning Case)'!$F$132*'Calc (Market Planning Case)'!$F$163+'Calc (Market Planning Case)'!$F$147*'Calc (Market Planning Case)'!$F$164)</f>
        <v>11.78218200110971</v>
      </c>
      <c r="G56" s="84">
        <f ca="1">IF(LEFT(A53,5)="blank",0,'Calc (Market Planning Case)'!$G$87*'Calc (Market Planning Case)'!$G$160+'Calc (Market Planning Case)'!$G$102*'Calc (Market Planning Case)'!$G$161+'Calc (Market Planning Case)'!$G$117*'Calc (Market Planning Case)'!$G$162+'Calc (Market Planning Case)'!$G$132*'Calc (Market Planning Case)'!$G$163+'Calc (Market Planning Case)'!$G$147*'Calc (Market Planning Case)'!$G$164)</f>
        <v>11.53458838355019</v>
      </c>
      <c r="H56" s="84">
        <f ca="1">IF(LEFT(A53,5)="blank",0,'Calc (Market Planning Case)'!$H$87*'Calc (Market Planning Case)'!$H$160+'Calc (Market Planning Case)'!$H$102*'Calc (Market Planning Case)'!$H$161+'Calc (Market Planning Case)'!$H$117*'Calc (Market Planning Case)'!$H$162+'Calc (Market Planning Case)'!$H$132*'Calc (Market Planning Case)'!$H$163+'Calc (Market Planning Case)'!$H$147*'Calc (Market Planning Case)'!$H$164)</f>
        <v>11.862439060112891</v>
      </c>
    </row>
    <row r="57" spans="1:13" ht="17.25" thickBot="1" x14ac:dyDescent="0.35">
      <c r="A57" t="str">
        <f t="shared" si="2"/>
        <v>Retail</v>
      </c>
      <c r="B57"/>
      <c r="C57" t="s">
        <v>71</v>
      </c>
      <c r="D57"/>
      <c r="E57" s="84">
        <f ca="1">IF(LEFT(A53,5)="blank",0,'Calc (Market Planning Case)'!$E$88*'Calc (Market Planning Case)'!$E$160+'Calc (Market Planning Case)'!$E$103*'Calc (Market Planning Case)'!$E$161+'Calc (Market Planning Case)'!$E$118*'Calc (Market Planning Case)'!$E$162+'Calc (Market Planning Case)'!$E$133*'Calc (Market Planning Case)'!$E$163+'Calc (Market Planning Case)'!$E$148*'Calc (Market Planning Case)'!$E$164)</f>
        <v>1.3914543736581693</v>
      </c>
      <c r="F57" s="84">
        <f ca="1">IF(LEFT(A53,5)="blank",0,'Calc (Market Planning Case)'!$F$88*'Calc (Market Planning Case)'!$F$160+'Calc (Market Planning Case)'!$F$103*'Calc (Market Planning Case)'!$F$161+'Calc (Market Planning Case)'!$F$118*'Calc (Market Planning Case)'!$F$162+'Calc (Market Planning Case)'!$F$133*'Calc (Market Planning Case)'!$F$163+'Calc (Market Planning Case)'!$F$148*'Calc (Market Planning Case)'!$F$164)</f>
        <v>1.4569907329996232</v>
      </c>
      <c r="G57" s="84">
        <f ca="1">IF(LEFT(A53,5)="blank",0,'Calc (Market Planning Case)'!$G$88*'Calc (Market Planning Case)'!$G$160+'Calc (Market Planning Case)'!$G$103*'Calc (Market Planning Case)'!$G$161+'Calc (Market Planning Case)'!$G$118*'Calc (Market Planning Case)'!$G$162+'Calc (Market Planning Case)'!$G$133*'Calc (Market Planning Case)'!$G$163+'Calc (Market Planning Case)'!$G$148*'Calc (Market Planning Case)'!$G$164)</f>
        <v>1.4934155013246138</v>
      </c>
      <c r="H57" s="84">
        <f ca="1">IF(LEFT(A53,5)="blank",0,'Calc (Market Planning Case)'!$H$88*'Calc (Market Planning Case)'!$H$160+'Calc (Market Planning Case)'!$H$103*'Calc (Market Planning Case)'!$H$161+'Calc (Market Planning Case)'!$H$118*'Calc (Market Planning Case)'!$H$162+'Calc (Market Planning Case)'!$H$133*'Calc (Market Planning Case)'!$H$163+'Calc (Market Planning Case)'!$H$148*'Calc (Market Planning Case)'!$H$164)</f>
        <v>1.5307508888577288</v>
      </c>
    </row>
    <row r="58" spans="1:13" ht="17.25" thickBot="1" x14ac:dyDescent="0.35">
      <c r="A58" t="str">
        <f t="shared" si="2"/>
        <v>Retail and Residual</v>
      </c>
      <c r="B58"/>
      <c r="C58" t="s">
        <v>71</v>
      </c>
      <c r="D58"/>
      <c r="E58" s="84">
        <f ca="1">IF(LEFT(A53,5)="blank",0,'Calc (Market Planning Case)'!$E$89*'Calc (Market Planning Case)'!$E$160+'Calc (Market Planning Case)'!$E$104*'Calc (Market Planning Case)'!$E$161+'Calc (Market Planning Case)'!$E$119*'Calc (Market Planning Case)'!$E$162+'Calc (Market Planning Case)'!$E$134*'Calc (Market Planning Case)'!$E$163+'Calc (Market Planning Case)'!$E$149*'Calc (Market Planning Case)'!$E$164)</f>
        <v>1.3021333004358491</v>
      </c>
      <c r="F58" s="84">
        <f ca="1">IF(LEFT(A53,5)="blank",0,'Calc (Market Planning Case)'!$F$89*'Calc (Market Planning Case)'!$F$160+'Calc (Market Planning Case)'!$F$104*'Calc (Market Planning Case)'!$F$161+'Calc (Market Planning Case)'!$F$119*'Calc (Market Planning Case)'!$F$162+'Calc (Market Planning Case)'!$F$134*'Calc (Market Planning Case)'!$F$163+'Calc (Market Planning Case)'!$F$149*'Calc (Market Planning Case)'!$F$164)</f>
        <v>1.5583332220483386</v>
      </c>
      <c r="G58" s="84">
        <f ca="1">IF(LEFT(A53,5)="blank",0,'Calc (Market Planning Case)'!$G$89*'Calc (Market Planning Case)'!$G$160+'Calc (Market Planning Case)'!$G$104*'Calc (Market Planning Case)'!$G$161+'Calc (Market Planning Case)'!$G$119*'Calc (Market Planning Case)'!$G$162+'Calc (Market Planning Case)'!$G$134*'Calc (Market Planning Case)'!$G$163+'Calc (Market Planning Case)'!$G$149*'Calc (Market Planning Case)'!$G$164)</f>
        <v>1.5166722397454038</v>
      </c>
      <c r="H58" s="84">
        <f ca="1">IF(LEFT(A53,5)="blank",0,'Calc (Market Planning Case)'!$H$89*'Calc (Market Planning Case)'!$H$160+'Calc (Market Planning Case)'!$H$104*'Calc (Market Planning Case)'!$H$161+'Calc (Market Planning Case)'!$H$119*'Calc (Market Planning Case)'!$H$162+'Calc (Market Planning Case)'!$H$134*'Calc (Market Planning Case)'!$H$163+'Calc (Market Planning Case)'!$H$149*'Calc (Market Planning Case)'!$H$164)</f>
        <v>1.5593878258398399</v>
      </c>
    </row>
    <row r="59" spans="1:13" ht="17.25" thickBot="1" x14ac:dyDescent="0.35">
      <c r="A59" t="str">
        <f t="shared" si="2"/>
        <v>Green Schemes</v>
      </c>
      <c r="B59"/>
      <c r="C59"/>
      <c r="D59"/>
      <c r="E59" s="89"/>
      <c r="F59" s="90"/>
      <c r="G59" s="89"/>
      <c r="H59" s="89"/>
    </row>
    <row r="60" spans="1:13" ht="17.25" thickBot="1" x14ac:dyDescent="0.35">
      <c r="A60" s="11" t="str">
        <f t="shared" si="2"/>
        <v>Feed-in Tariffs</v>
      </c>
      <c r="B60"/>
      <c r="C60" t="s">
        <v>71</v>
      </c>
      <c r="D60"/>
      <c r="E60" s="84">
        <f ca="1">IF(LEFT(A53,5)="blank",0,'Calc (Market Planning Case)'!E$91*'Calc (Market Planning Case)'!E$160+'Calc (Market Planning Case)'!E$106*'Calc (Market Planning Case)'!E$161+'Calc (Market Planning Case)'!E$121*'Calc (Market Planning Case)'!E$162+'Calc (Market Planning Case)'!E$136*'Calc (Market Planning Case)'!E$163+'Calc (Market Planning Case)'!E$151*'Calc (Market Planning Case)'!E$164)</f>
        <v>0.20196382952745356</v>
      </c>
      <c r="F60" s="84">
        <f ca="1">IF(LEFT(A53,5)="blank",0,'Calc (Market Planning Case)'!F$91*'Calc (Market Planning Case)'!F$160+'Calc (Market Planning Case)'!F$106*'Calc (Market Planning Case)'!F$161+'Calc (Market Planning Case)'!F$121*'Calc (Market Planning Case)'!F$162+'Calc (Market Planning Case)'!F$136*'Calc (Market Planning Case)'!F$163+'Calc (Market Planning Case)'!F$151*'Calc (Market Planning Case)'!F$164)</f>
        <v>1.2795193445866802</v>
      </c>
      <c r="G60" s="84">
        <f ca="1">IF(LEFT(A53,5)="blank",0,'Calc (Market Planning Case)'!G$91*'Calc (Market Planning Case)'!G$160+'Calc (Market Planning Case)'!G$106*'Calc (Market Planning Case)'!G$161+'Calc (Market Planning Case)'!G$121*'Calc (Market Planning Case)'!G$162+'Calc (Market Planning Case)'!G$136*'Calc (Market Planning Case)'!G$163+'Calc (Market Planning Case)'!G$151*'Calc (Market Planning Case)'!G$164)</f>
        <v>1.5794386789577981</v>
      </c>
      <c r="H60" s="84">
        <f ca="1">IF(LEFT(A53,5)="blank",0,'Calc (Market Planning Case)'!H$91*'Calc (Market Planning Case)'!H$160+'Calc (Market Planning Case)'!H$106*'Calc (Market Planning Case)'!H$161+'Calc (Market Planning Case)'!H$121*'Calc (Market Planning Case)'!H$162+'Calc (Market Planning Case)'!H$136*'Calc (Market Planning Case)'!H$163+'Calc (Market Planning Case)'!H$151*'Calc (Market Planning Case)'!H$164)</f>
        <v>1.5794386789577981</v>
      </c>
    </row>
    <row r="61" spans="1:13" ht="17.25" thickBot="1" x14ac:dyDescent="0.35">
      <c r="A61" s="11" t="str">
        <f t="shared" si="2"/>
        <v>Carbon costs</v>
      </c>
      <c r="B61"/>
      <c r="C61" t="s">
        <v>71</v>
      </c>
      <c r="D61"/>
      <c r="E61" s="84">
        <f ca="1">IF(LEFT(A53,5)="blank",0,'Calc (Market Planning Case)'!E$92*'Calc (Market Planning Case)'!E$160+'Calc (Market Planning Case)'!E$107*'Calc (Market Planning Case)'!E$161+'Calc (Market Planning Case)'!E$122*'Calc (Market Planning Case)'!E$162+'Calc (Market Planning Case)'!E$137*'Calc (Market Planning Case)'!E$163+'Calc (Market Planning Case)'!E$152*'Calc (Market Planning Case)'!E$164)</f>
        <v>0</v>
      </c>
      <c r="F61" s="84">
        <f ca="1">IF(LEFT(A53,5)="blank",0,'Calc (Market Planning Case)'!F$92*'Calc (Market Planning Case)'!F$160+'Calc (Market Planning Case)'!F$107*'Calc (Market Planning Case)'!F$161+'Calc (Market Planning Case)'!F$122*'Calc (Market Planning Case)'!F$162+'Calc (Market Planning Case)'!F$137*'Calc (Market Planning Case)'!F$163+'Calc (Market Planning Case)'!F$152*'Calc (Market Planning Case)'!F$164)</f>
        <v>2.0333831431372906</v>
      </c>
      <c r="G61" s="84">
        <f ca="1">IF(LEFT(A53,5)="blank",0,'Calc (Market Planning Case)'!G$92*'Calc (Market Planning Case)'!G$160+'Calc (Market Planning Case)'!G$107*'Calc (Market Planning Case)'!G$161+'Calc (Market Planning Case)'!G$122*'Calc (Market Planning Case)'!G$162+'Calc (Market Planning Case)'!G$137*'Calc (Market Planning Case)'!G$163+'Calc (Market Planning Case)'!G$152*'Calc (Market Planning Case)'!G$164)</f>
        <v>2.2695713059283542</v>
      </c>
      <c r="H61" s="84">
        <f ca="1">IF(LEFT(A53,5)="blank",0,'Calc (Market Planning Case)'!H$92*'Calc (Market Planning Case)'!H$160+'Calc (Market Planning Case)'!H$107*'Calc (Market Planning Case)'!H$161+'Calc (Market Planning Case)'!H$122*'Calc (Market Planning Case)'!H$162+'Calc (Market Planning Case)'!H$137*'Calc (Market Planning Case)'!H$163+'Calc (Market Planning Case)'!H$152*'Calc (Market Planning Case)'!H$164)</f>
        <v>2.1704497700422274</v>
      </c>
    </row>
    <row r="62" spans="1:13" ht="17.25" thickBot="1" x14ac:dyDescent="0.35">
      <c r="A62" s="11" t="str">
        <f t="shared" si="2"/>
        <v>Large Scale Renewable Energy Target</v>
      </c>
      <c r="B62"/>
      <c r="C62" t="s">
        <v>71</v>
      </c>
      <c r="D62"/>
      <c r="E62" s="84">
        <f ca="1">IF(LEFT(A53,5)="blank",0,'Calc (Market Planning Case)'!$E$93*'Calc (Market Planning Case)'!$E$160+'Calc (Market Planning Case)'!$E$108*'Calc (Market Planning Case)'!$E$161+'Calc (Market Planning Case)'!$E$123*'Calc (Market Planning Case)'!$E$162+'Calc (Market Planning Case)'!$E$138*'Calc (Market Planning Case)'!$E$163+'Calc (Market Planning Case)'!$E$153*'Calc (Market Planning Case)'!$E$164)</f>
        <v>0.27242894063629625</v>
      </c>
      <c r="F62" s="84">
        <f ca="1">IF(LEFT(A53,5)="blank",0,'Calc (Market Planning Case)'!$F$93*'Calc (Market Planning Case)'!$F$160+'Calc (Market Planning Case)'!$F$108*'Calc (Market Planning Case)'!$F$161+'Calc (Market Planning Case)'!$F$123*'Calc (Market Planning Case)'!$F$162+'Calc (Market Planning Case)'!$F$138*'Calc (Market Planning Case)'!$F$163+'Calc (Market Planning Case)'!$F$153*'Calc (Market Planning Case)'!$F$164)</f>
        <v>0.45505302506099338</v>
      </c>
      <c r="G62" s="84">
        <f ca="1">IF(LEFT(A53,5)="blank",0,'Calc (Market Planning Case)'!$G$93*'Calc (Market Planning Case)'!$G$160+'Calc (Market Planning Case)'!$G$108*'Calc (Market Planning Case)'!$G$161+'Calc (Market Planning Case)'!$G$123*'Calc (Market Planning Case)'!$G$162+'Calc (Market Planning Case)'!$G$138*'Calc (Market Planning Case)'!$G$163+'Calc (Market Planning Case)'!$G$153*'Calc (Market Planning Case)'!$G$164)</f>
        <v>0.48761504466278616</v>
      </c>
      <c r="H62" s="84">
        <f ca="1">IF(LEFT(A53,5)="blank",0,'Calc (Market Planning Case)'!$H$93*'Calc (Market Planning Case)'!$H$160+'Calc (Market Planning Case)'!$H$108*'Calc (Market Planning Case)'!$H$161+'Calc (Market Planning Case)'!$H$123*'Calc (Market Planning Case)'!$H$162+'Calc (Market Planning Case)'!$H$138*'Calc (Market Planning Case)'!$H$163+'Calc (Market Planning Case)'!$H$153*'Calc (Market Planning Case)'!$H$164)</f>
        <v>0.51636315180425818</v>
      </c>
    </row>
    <row r="63" spans="1:13" ht="17.25" thickBot="1" x14ac:dyDescent="0.35">
      <c r="A63" s="11" t="str">
        <f t="shared" si="2"/>
        <v>Small Scale Renewable Energy Scheme</v>
      </c>
      <c r="B63"/>
      <c r="C63" t="s">
        <v>71</v>
      </c>
      <c r="D63"/>
      <c r="E63" s="84">
        <f ca="1">IF(LEFT(A53,5)="blank",0,'Calc (Market Planning Case)'!$E$94*'Calc (Market Planning Case)'!$E$160+'Calc (Market Planning Case)'!$E$109*'Calc (Market Planning Case)'!$E$161+'Calc (Market Planning Case)'!$E$124*'Calc (Market Planning Case)'!$E$162+'Calc (Market Planning Case)'!$E$139*'Calc (Market Planning Case)'!$E$163+'Calc (Market Planning Case)'!$E$154*'Calc (Market Planning Case)'!$E$164)</f>
        <v>0.62320831075477701</v>
      </c>
      <c r="F63" s="84">
        <f ca="1">IF(LEFT(A53,5)="blank",0,'Calc (Market Planning Case)'!$F$94*'Calc (Market Planning Case)'!$F$160+'Calc (Market Planning Case)'!$F$109*'Calc (Market Planning Case)'!$F$161+'Calc (Market Planning Case)'!$F$124*'Calc (Market Planning Case)'!$F$162+'Calc (Market Planning Case)'!$F$139*'Calc (Market Planning Case)'!$F$163+'Calc (Market Planning Case)'!$F$154*'Calc (Market Planning Case)'!$F$164)</f>
        <v>0.55992165725799836</v>
      </c>
      <c r="G63" s="84">
        <f ca="1">IF(LEFT(A53,5)="blank",0,'Calc (Market Planning Case)'!$G$94*'Calc (Market Planning Case)'!$G$160+'Calc (Market Planning Case)'!$G$109*'Calc (Market Planning Case)'!$G$161+'Calc (Market Planning Case)'!$G$124*'Calc (Market Planning Case)'!$G$162+'Calc (Market Planning Case)'!$G$139*'Calc (Market Planning Case)'!$G$163+'Calc (Market Planning Case)'!$G$154*'Calc (Market Planning Case)'!$G$164)</f>
        <v>0.24643573880571468</v>
      </c>
      <c r="H63" s="84">
        <f ca="1">IF(LEFT(A53,5)="blank",0,'Calc (Market Planning Case)'!$H$94*'Calc (Market Planning Case)'!$H$160+'Calc (Market Planning Case)'!$H$109*'Calc (Market Planning Case)'!$H$161+'Calc (Market Planning Case)'!$H$124*'Calc (Market Planning Case)'!$H$162+'Calc (Market Planning Case)'!$H$139*'Calc (Market Planning Case)'!$H$163+'Calc (Market Planning Case)'!$H$154*'Calc (Market Planning Case)'!$H$164)</f>
        <v>0.214139317195849</v>
      </c>
    </row>
    <row r="64" spans="1:13" ht="17.25" thickBot="1" x14ac:dyDescent="0.35">
      <c r="A64" s="11" t="str">
        <f t="shared" si="2"/>
        <v>Energy savings</v>
      </c>
      <c r="B64"/>
      <c r="C64" t="s">
        <v>71</v>
      </c>
      <c r="D64"/>
      <c r="E64" s="84">
        <f ca="1">IF(LEFT(A53,5)="blank",0,'Calc (Market Planning Case)'!$E$95*'Calc (Market Planning Case)'!$E$160+'Calc (Market Planning Case)'!$E$110*'Calc (Market Planning Case)'!$E$161+'Calc (Market Planning Case)'!$E$125*'Calc (Market Planning Case)'!$E$162+'Calc (Market Planning Case)'!$E$140*'Calc (Market Planning Case)'!$E$163+'Calc (Market Planning Case)'!$E$155*'Calc (Market Planning Case)'!$E$164)</f>
        <v>0.11172499999999999</v>
      </c>
      <c r="F64" s="84">
        <f ca="1">IF(LEFT(A53,5)="blank",0,'Calc (Market Planning Case)'!$F$95*'Calc (Market Planning Case)'!$F$160+'Calc (Market Planning Case)'!$F$110*'Calc (Market Planning Case)'!$F$161+'Calc (Market Planning Case)'!$F$125*'Calc (Market Planning Case)'!$F$162+'Calc (Market Planning Case)'!$F$140*'Calc (Market Planning Case)'!$F$163+'Calc (Market Planning Case)'!$F$155*'Calc (Market Planning Case)'!$F$164)</f>
        <v>0.15494958761426933</v>
      </c>
      <c r="G64" s="84">
        <f ca="1">IF(LEFT(A53,5)="blank",0,'Calc (Market Planning Case)'!$G$95*'Calc (Market Planning Case)'!$G$160+'Calc (Market Planning Case)'!$G$110*'Calc (Market Planning Case)'!$G$161+'Calc (Market Planning Case)'!$G$125*'Calc (Market Planning Case)'!$G$162+'Calc (Market Planning Case)'!$G$140*'Calc (Market Planning Case)'!$G$163+'Calc (Market Planning Case)'!$G$155*'Calc (Market Planning Case)'!$G$164)</f>
        <v>0</v>
      </c>
      <c r="H64" s="84">
        <f ca="1">IF(LEFT(A53,5)="blank",0,'Calc (Market Planning Case)'!$H$95*'Calc (Market Planning Case)'!$H$160+'Calc (Market Planning Case)'!$H$110*'Calc (Market Planning Case)'!$H$161+'Calc (Market Planning Case)'!$H$125*'Calc (Market Planning Case)'!$H$162+'Calc (Market Planning Case)'!$H$140*'Calc (Market Planning Case)'!$H$163+'Calc (Market Planning Case)'!$H$155*'Calc (Market Planning Case)'!$H$164)</f>
        <v>0</v>
      </c>
    </row>
    <row r="65" spans="1:13" ht="17.25" thickBot="1" x14ac:dyDescent="0.35">
      <c r="A65" s="11" t="str">
        <f t="shared" si="2"/>
        <v>Blank</v>
      </c>
      <c r="B65"/>
      <c r="C65" t="s">
        <v>71</v>
      </c>
      <c r="D65"/>
      <c r="E65" s="84">
        <f ca="1">IF(LEFT(A53,5)="blank",0,'Calc (Market Planning Case)'!$E$96*'Calc (Market Planning Case)'!$E$160+'Calc (Market Planning Case)'!$E$111*'Calc (Market Planning Case)'!$E$161+'Calc (Market Planning Case)'!$E$126*'Calc (Market Planning Case)'!$E$162+'Calc (Market Planning Case)'!$E$141*'Calc (Market Planning Case)'!$E$163+'Calc (Market Planning Case)'!$E$156*'Calc (Market Planning Case)'!$E$164)</f>
        <v>0</v>
      </c>
      <c r="F65" s="84">
        <f ca="1">IF(LEFT(A53,5)="blank",0,'Calc (Market Planning Case)'!$F$96*'Calc (Market Planning Case)'!$F$160+'Calc (Market Planning Case)'!$F$111*'Calc (Market Planning Case)'!$F$161+'Calc (Market Planning Case)'!$F$126*'Calc (Market Planning Case)'!$F$162+'Calc (Market Planning Case)'!$F$141*'Calc (Market Planning Case)'!$F$163+'Calc (Market Planning Case)'!$F$156*'Calc (Market Planning Case)'!$G$18)</f>
        <v>0</v>
      </c>
      <c r="G65" s="84">
        <f ca="1">IF(LEFT(A53,5)="blank",0,'Calc (Market Planning Case)'!$G$96*'Calc (Market Planning Case)'!$G$160+'Calc (Market Planning Case)'!$G$111*'Calc (Market Planning Case)'!$G$161+'Calc (Market Planning Case)'!$G$126*'Calc (Market Planning Case)'!$G$162+'Calc (Market Planning Case)'!$G$141*'Calc (Market Planning Case)'!$G$163+'Calc (Market Planning Case)'!$G$156*'Calc (Market Planning Case)'!$G$164)</f>
        <v>0</v>
      </c>
      <c r="H65" s="84">
        <f ca="1">IF(LEFT(A53,5)="blank",0,'Calc (Market Planning Case)'!$H$96*'Calc (Market Planning Case)'!$H$160+'Calc (Market Planning Case)'!$H$111*'Calc (Market Planning Case)'!$H$161+'Calc (Market Planning Case)'!$H$126*'Calc (Market Planning Case)'!$H$162+'Calc (Market Planning Case)'!$H$141*'Calc (Market Planning Case)'!$H$163+'Calc (Market Planning Case)'!$H$156*'Calc (Market Planning Case)'!$H$164)</f>
        <v>0</v>
      </c>
      <c r="J65" s="29"/>
      <c r="K65" s="29"/>
      <c r="L65" s="29"/>
      <c r="M65" s="29"/>
    </row>
    <row r="66" spans="1:13" ht="17.25" thickBot="1" x14ac:dyDescent="0.35">
      <c r="A66" t="str">
        <f>A51</f>
        <v>Total</v>
      </c>
      <c r="B66"/>
      <c r="C66" t="s">
        <v>71</v>
      </c>
      <c r="D66"/>
      <c r="E66" s="84">
        <f ca="1">SUM(E54:E65)</f>
        <v>25.415712938136757</v>
      </c>
      <c r="F66" s="84">
        <f ca="1">SUM(F54:F65)</f>
        <v>30.416355852573126</v>
      </c>
      <c r="G66" s="84">
        <f ca="1">SUM(G54:G65)</f>
        <v>29.603195197993628</v>
      </c>
      <c r="H66" s="84">
        <f ca="1">SUM(H54:H65)</f>
        <v>30.436940156207246</v>
      </c>
      <c r="J66" s="29"/>
      <c r="K66" s="29"/>
      <c r="L66" s="29"/>
      <c r="M66" s="29"/>
    </row>
    <row r="67" spans="1:13" x14ac:dyDescent="0.3">
      <c r="A67"/>
      <c r="B67"/>
      <c r="C67"/>
      <c r="D67"/>
      <c r="E67" s="89"/>
      <c r="F67" s="89"/>
      <c r="G67" s="89"/>
      <c r="H67" s="89"/>
    </row>
    <row r="68" spans="1:13" ht="17.25" thickBot="1" x14ac:dyDescent="0.35">
      <c r="A68" s="91" t="str">
        <f ca="1">'Calc (Market Slow Rate)'!B2</f>
        <v>Calc (Market Slow Rate)</v>
      </c>
      <c r="B68"/>
      <c r="C68"/>
      <c r="D68"/>
      <c r="E68" s="89"/>
      <c r="F68" s="89"/>
      <c r="G68" s="89"/>
      <c r="H68" s="89"/>
    </row>
    <row r="69" spans="1:13" ht="17.25" thickBot="1" x14ac:dyDescent="0.35">
      <c r="A69" t="str">
        <f>A54</f>
        <v>Wholesale</v>
      </c>
      <c r="B69"/>
      <c r="C69" t="s">
        <v>71</v>
      </c>
      <c r="D69"/>
      <c r="E69" s="84">
        <f ca="1">IF(LEFT(A68,5)="blank",0,'Calc (Market Slow Rate)'!$E$85*'Calc (Market Slow Rate)'!$E$160+'Calc (Market Slow Rate)'!$E$100*'Calc (Market Slow Rate)'!$E$161+'Calc (Market Slow Rate)'!$E$115*'Calc (Market Slow Rate)'!$E$162+'Calc (Market Slow Rate)'!$E$130*'Calc (Market Slow Rate)'!$E$163+'Calc (Market Slow Rate)'!$E$145*'Calc (Market Slow Rate)'!$E$164)</f>
        <v>7.4317900083507746</v>
      </c>
      <c r="F69" s="84">
        <f ca="1">IF(LEFT(A68,5)="blank",0,'Calc (Market Slow Rate)'!$F$85*'Calc (Market Slow Rate)'!$F$160+'Calc (Market Slow Rate)'!$F$100*'Calc (Market Slow Rate)'!$F$161+'Calc (Market Slow Rate)'!$F$115*'Calc (Market Slow Rate)'!$F$162+'Calc (Market Slow Rate)'!$F$130*'Calc (Market Slow Rate)'!$F$163+'Calc (Market Slow Rate)'!$F$145*'Calc (Market Slow Rate)'!$F$164)</f>
        <v>7.584943753917111</v>
      </c>
      <c r="G69" s="84">
        <f ca="1">IF(LEFT(A68,5)="blank",0,'Calc (Market Slow Rate)'!$G$85*'Calc (Market Slow Rate)'!$G$160+'Calc (Market Slow Rate)'!$G$100*'Calc (Market Slow Rate)'!$G$161+'Calc (Market Slow Rate)'!$G$115*'Calc (Market Slow Rate)'!$G$162+'Calc (Market Slow Rate)'!$G$130*'Calc (Market Slow Rate)'!$G$163+'Calc (Market Slow Rate)'!$G$145*'Calc (Market Slow Rate)'!$G$164)</f>
        <v>7.0362979408870281</v>
      </c>
      <c r="H69" s="84">
        <f ca="1">IF(LEFT(A68,5)="blank",0,'Calc (Market Slow Rate)'!$H$85*'Calc (Market Slow Rate)'!$H$160+'Calc (Market Slow Rate)'!$H$100*'Calc (Market Slow Rate)'!$H$161+'Calc (Market Slow Rate)'!$H$115*'Calc (Market Slow Rate)'!$H$162+'Calc (Market Slow Rate)'!$H$130*'Calc (Market Slow Rate)'!$H$163+'Calc (Market Slow Rate)'!$H$145*'Calc (Market Slow Rate)'!$H$164)</f>
        <v>6.8829203317854066</v>
      </c>
    </row>
    <row r="70" spans="1:13" ht="17.25" thickBot="1" x14ac:dyDescent="0.35">
      <c r="A70" t="str">
        <f t="shared" ref="A70:A80" si="3">A55</f>
        <v>Transmission</v>
      </c>
      <c r="B70"/>
      <c r="C70" t="s">
        <v>71</v>
      </c>
      <c r="D70"/>
      <c r="E70" s="84">
        <f ca="1">IF(LEFT(A68,5)="blank",0,'Calc (Market Slow Rate)'!$E$86*'Calc (Market Slow Rate)'!$E$160+'Calc (Market Slow Rate)'!$E$101*'Calc (Market Slow Rate)'!$E$161+'Calc (Market Slow Rate)'!$E$116*'Calc (Market Slow Rate)'!$E$162+'Calc (Market Slow Rate)'!$E$131*'Calc (Market Slow Rate)'!$E$163+'Calc (Market Slow Rate)'!$E$146*'Calc (Market Slow Rate)'!$E$164)</f>
        <v>2.1615566278438139</v>
      </c>
      <c r="F70" s="84">
        <f ca="1">IF(LEFT(A68,5)="blank",0,'Calc (Market Slow Rate)'!$F$86*'Calc (Market Slow Rate)'!$F$160+'Calc (Market Slow Rate)'!$F$101*'Calc (Market Slow Rate)'!$F$161+'Calc (Market Slow Rate)'!$F$116*'Calc (Market Slow Rate)'!$F$162+'Calc (Market Slow Rate)'!$F$131*'Calc (Market Slow Rate)'!$F$163+'Calc (Market Slow Rate)'!$F$146*'Calc (Market Slow Rate)'!$F$164)</f>
        <v>3.5510793848411084</v>
      </c>
      <c r="G70" s="84">
        <f ca="1">IF(LEFT(A68,5)="blank",0,'Calc (Market Slow Rate)'!$G$86*'Calc (Market Slow Rate)'!$G$160+'Calc (Market Slow Rate)'!$G$101*'Calc (Market Slow Rate)'!$G$161+'Calc (Market Slow Rate)'!$G$116*'Calc (Market Slow Rate)'!$G$162+'Calc (Market Slow Rate)'!$G$131*'Calc (Market Slow Rate)'!$G$163+'Calc (Market Slow Rate)'!$G$146*'Calc (Market Slow Rate)'!$G$164)</f>
        <v>3.7984706638230836</v>
      </c>
      <c r="H70" s="84">
        <f ca="1">IF(LEFT(A68,5)="blank",0,'Calc (Market Slow Rate)'!$H$86*'Calc (Market Slow Rate)'!$H$160+'Calc (Market Slow Rate)'!$H$101*'Calc (Market Slow Rate)'!$H$161+'Calc (Market Slow Rate)'!$H$116*'Calc (Market Slow Rate)'!$H$162+'Calc (Market Slow Rate)'!$H$131*'Calc (Market Slow Rate)'!$H$163+'Calc (Market Slow Rate)'!$H$146*'Calc (Market Slow Rate)'!$H$164)</f>
        <v>4.0630968278311732</v>
      </c>
    </row>
    <row r="71" spans="1:13" ht="17.25" thickBot="1" x14ac:dyDescent="0.35">
      <c r="A71" t="str">
        <f t="shared" si="3"/>
        <v>Distribution</v>
      </c>
      <c r="B71"/>
      <c r="C71" t="s">
        <v>71</v>
      </c>
      <c r="D71"/>
      <c r="E71" s="84">
        <f ca="1">IF(LEFT(A68,5)="blank",0,'Calc (Market Slow Rate)'!$E$87*'Calc (Market Slow Rate)'!$E$160+'Calc (Market Slow Rate)'!$E$102*'Calc (Market Slow Rate)'!$E$161+'Calc (Market Slow Rate)'!$E$117*'Calc (Market Slow Rate)'!$E$162+'Calc (Market Slow Rate)'!$E$132*'Calc (Market Slow Rate)'!$E$163+'Calc (Market Slow Rate)'!$E$147*'Calc (Market Slow Rate)'!$E$164)</f>
        <v>11.919452546929623</v>
      </c>
      <c r="F71" s="84">
        <f ca="1">IF(LEFT(A68,5)="blank",0,'Calc (Market Slow Rate)'!$F$87*'Calc (Market Slow Rate)'!$F$160+'Calc (Market Slow Rate)'!$F$102*'Calc (Market Slow Rate)'!$F$161+'Calc (Market Slow Rate)'!$F$117*'Calc (Market Slow Rate)'!$F$162+'Calc (Market Slow Rate)'!$F$132*'Calc (Market Slow Rate)'!$F$163+'Calc (Market Slow Rate)'!$F$147*'Calc (Market Slow Rate)'!$F$164)</f>
        <v>11.78218200110971</v>
      </c>
      <c r="G71" s="84">
        <f ca="1">IF(LEFT(A68,5)="blank",0,'Calc (Market Slow Rate)'!$G$87*'Calc (Market Slow Rate)'!$G$160+'Calc (Market Slow Rate)'!$G$102*'Calc (Market Slow Rate)'!$G$161+'Calc (Market Slow Rate)'!$G$117*'Calc (Market Slow Rate)'!$G$162+'Calc (Market Slow Rate)'!$G$132*'Calc (Market Slow Rate)'!$G$163+'Calc (Market Slow Rate)'!$G$147*'Calc (Market Slow Rate)'!$G$164)</f>
        <v>11.53458838355019</v>
      </c>
      <c r="H71" s="84">
        <f ca="1">IF(LEFT(A68,5)="blank",0,'Calc (Market Slow Rate)'!$H$87*'Calc (Market Slow Rate)'!$H$160+'Calc (Market Slow Rate)'!$H$102*'Calc (Market Slow Rate)'!$H$161+'Calc (Market Slow Rate)'!$H$117*'Calc (Market Slow Rate)'!$H$162+'Calc (Market Slow Rate)'!$H$132*'Calc (Market Slow Rate)'!$H$163+'Calc (Market Slow Rate)'!$H$147*'Calc (Market Slow Rate)'!$H$164)</f>
        <v>11.862439060112891</v>
      </c>
    </row>
    <row r="72" spans="1:13" ht="17.25" thickBot="1" x14ac:dyDescent="0.35">
      <c r="A72" t="str">
        <f t="shared" si="3"/>
        <v>Retail</v>
      </c>
      <c r="B72"/>
      <c r="C72" t="s">
        <v>71</v>
      </c>
      <c r="D72"/>
      <c r="E72" s="84">
        <f ca="1">IF(LEFT(A68,5)="blank",0,'Calc (Market Slow Rate)'!$E$88*'Calc (Market Slow Rate)'!$E$160+'Calc (Market Slow Rate)'!$E$103*'Calc (Market Slow Rate)'!$E$161+'Calc (Market Slow Rate)'!$E$118*'Calc (Market Slow Rate)'!$E$162+'Calc (Market Slow Rate)'!$E$133*'Calc (Market Slow Rate)'!$E$163+'Calc (Market Slow Rate)'!$E$148*'Calc (Market Slow Rate)'!$E$164)</f>
        <v>1.3914543736581693</v>
      </c>
      <c r="F72" s="84">
        <f ca="1">IF(LEFT(A68,5)="blank",0,'Calc (Market Slow Rate)'!$F$88*'Calc (Market Slow Rate)'!$F$160+'Calc (Market Slow Rate)'!$F$103*'Calc (Market Slow Rate)'!$F$161+'Calc (Market Slow Rate)'!$F$118*'Calc (Market Slow Rate)'!$F$162+'Calc (Market Slow Rate)'!$F$133*'Calc (Market Slow Rate)'!$F$163+'Calc (Market Slow Rate)'!$F$148*'Calc (Market Slow Rate)'!$F$164)</f>
        <v>1.4569907329996232</v>
      </c>
      <c r="G72" s="84">
        <f ca="1">IF(LEFT(A68,5)="blank",0,'Calc (Market Slow Rate)'!$G$88*'Calc (Market Slow Rate)'!$G$160+'Calc (Market Slow Rate)'!$G$103*'Calc (Market Slow Rate)'!$G$161+'Calc (Market Slow Rate)'!$G$118*'Calc (Market Slow Rate)'!$G$162+'Calc (Market Slow Rate)'!$G$133*'Calc (Market Slow Rate)'!$G$163+'Calc (Market Slow Rate)'!$G$148*'Calc (Market Slow Rate)'!$G$164)</f>
        <v>1.4934155013246138</v>
      </c>
      <c r="H72" s="84">
        <f ca="1">IF(LEFT(A68,5)="blank",0,'Calc (Market Slow Rate)'!$H$88*'Calc (Market Slow Rate)'!$H$160+'Calc (Market Slow Rate)'!$H$103*'Calc (Market Slow Rate)'!$H$161+'Calc (Market Slow Rate)'!$H$118*'Calc (Market Slow Rate)'!$H$162+'Calc (Market Slow Rate)'!$H$133*'Calc (Market Slow Rate)'!$H$163+'Calc (Market Slow Rate)'!$H$148*'Calc (Market Slow Rate)'!$H$164)</f>
        <v>1.5307508888577288</v>
      </c>
    </row>
    <row r="73" spans="1:13" ht="17.25" thickBot="1" x14ac:dyDescent="0.35">
      <c r="A73" t="str">
        <f t="shared" si="3"/>
        <v>Retail and Residual</v>
      </c>
      <c r="B73"/>
      <c r="C73" t="s">
        <v>71</v>
      </c>
      <c r="D73"/>
      <c r="E73" s="84">
        <f ca="1">IF(LEFT(A68,5)="blank",0,'Calc (Market Slow Rate)'!$E$89*'Calc (Market Slow Rate)'!$E$160+'Calc (Market Slow Rate)'!$E$104*'Calc (Market Slow Rate)'!$E$161+'Calc (Market Slow Rate)'!$E$119*'Calc (Market Slow Rate)'!$E$162+'Calc (Market Slow Rate)'!$E$134*'Calc (Market Slow Rate)'!$E$163+'Calc (Market Slow Rate)'!$E$149*'Calc (Market Slow Rate)'!$E$164)</f>
        <v>1.3021333004358491</v>
      </c>
      <c r="F73" s="84">
        <f ca="1">IF(LEFT(A68,5)="blank",0,'Calc (Market Slow Rate)'!$F$89*'Calc (Market Slow Rate)'!$F$160+'Calc (Market Slow Rate)'!$F$104*'Calc (Market Slow Rate)'!$F$161+'Calc (Market Slow Rate)'!$F$119*'Calc (Market Slow Rate)'!$F$162+'Calc (Market Slow Rate)'!$F$134*'Calc (Market Slow Rate)'!$F$163+'Calc (Market Slow Rate)'!$F$149*'Calc (Market Slow Rate)'!$F$164)</f>
        <v>1.5583332220483386</v>
      </c>
      <c r="G73" s="84">
        <f ca="1">IF(LEFT(A68,5)="blank",0,'Calc (Market Slow Rate)'!$G$89*'Calc (Market Slow Rate)'!$G$160+'Calc (Market Slow Rate)'!$G$104*'Calc (Market Slow Rate)'!$G$161+'Calc (Market Slow Rate)'!$G$119*'Calc (Market Slow Rate)'!$G$162+'Calc (Market Slow Rate)'!$G$134*'Calc (Market Slow Rate)'!$G$163+'Calc (Market Slow Rate)'!$G$149*'Calc (Market Slow Rate)'!$G$164)</f>
        <v>1.5421555032678853</v>
      </c>
      <c r="H73" s="84">
        <f ca="1">IF(LEFT(A68,5)="blank",0,'Calc (Market Slow Rate)'!$H$89*'Calc (Market Slow Rate)'!$H$160+'Calc (Market Slow Rate)'!$H$104*'Calc (Market Slow Rate)'!$H$161+'Calc (Market Slow Rate)'!$H$119*'Calc (Market Slow Rate)'!$H$162+'Calc (Market Slow Rate)'!$H$134*'Calc (Market Slow Rate)'!$H$163+'Calc (Market Slow Rate)'!$H$149*'Calc (Market Slow Rate)'!$H$164)</f>
        <v>1.5601271851646137</v>
      </c>
    </row>
    <row r="74" spans="1:13" ht="17.25" thickBot="1" x14ac:dyDescent="0.35">
      <c r="A74" t="str">
        <f t="shared" si="3"/>
        <v>Green Schemes</v>
      </c>
      <c r="B74"/>
      <c r="C74"/>
      <c r="D74"/>
      <c r="E74" s="89"/>
      <c r="F74" s="90"/>
      <c r="G74" s="89"/>
      <c r="H74" s="89"/>
    </row>
    <row r="75" spans="1:13" ht="17.25" thickBot="1" x14ac:dyDescent="0.35">
      <c r="A75" s="11" t="str">
        <f t="shared" si="3"/>
        <v>Feed-in Tariffs</v>
      </c>
      <c r="B75"/>
      <c r="C75" t="s">
        <v>71</v>
      </c>
      <c r="D75"/>
      <c r="E75" s="84">
        <f ca="1">IF(LEFT(A68,5)="blank",0,'Calc (Market Slow Rate)'!E$91*'Calc (Market Slow Rate)'!E$160+'Calc (Market Slow Rate)'!E$106*'Calc (Market Slow Rate)'!E$161+'Calc (Market Slow Rate)'!E$121*'Calc (Market Slow Rate)'!E$162+'Calc (Market Slow Rate)'!E$136*'Calc (Market Slow Rate)'!E$163+'Calc (Market Slow Rate)'!E$151*'Calc (Market Slow Rate)'!E$164)</f>
        <v>0.20196382952745356</v>
      </c>
      <c r="F75" s="84">
        <f ca="1">IF(LEFT(A68,5)="blank",0,'Calc (Market Slow Rate)'!F$91*'Calc (Market Slow Rate)'!F$160+'Calc (Market Slow Rate)'!F$106*'Calc (Market Slow Rate)'!F$161+'Calc (Market Slow Rate)'!F$121*'Calc (Market Slow Rate)'!F$162+'Calc (Market Slow Rate)'!F$136*'Calc (Market Slow Rate)'!F$163+'Calc (Market Slow Rate)'!F$151*'Calc (Market Slow Rate)'!F$164)</f>
        <v>1.2795193445866802</v>
      </c>
      <c r="G75" s="84">
        <f ca="1">IF(LEFT(A68,5)="blank",0,'Calc (Market Slow Rate)'!G$91*'Calc (Market Slow Rate)'!G$160+'Calc (Market Slow Rate)'!G$106*'Calc (Market Slow Rate)'!G$161+'Calc (Market Slow Rate)'!G$121*'Calc (Market Slow Rate)'!G$162+'Calc (Market Slow Rate)'!G$136*'Calc (Market Slow Rate)'!G$163+'Calc (Market Slow Rate)'!G$151*'Calc (Market Slow Rate)'!G$164)</f>
        <v>1.5794386789577981</v>
      </c>
      <c r="H75" s="84">
        <f ca="1">IF(LEFT(A68,5)="blank",0,'Calc (Market Slow Rate)'!H$91*'Calc (Market Slow Rate)'!H$160+'Calc (Market Slow Rate)'!H$106*'Calc (Market Slow Rate)'!H$161+'Calc (Market Slow Rate)'!H$121*'Calc (Market Slow Rate)'!H$162+'Calc (Market Slow Rate)'!H$136*'Calc (Market Slow Rate)'!H$163+'Calc (Market Slow Rate)'!H$151*'Calc (Market Slow Rate)'!H$164)</f>
        <v>1.5794386789577981</v>
      </c>
    </row>
    <row r="76" spans="1:13" ht="17.25" thickBot="1" x14ac:dyDescent="0.35">
      <c r="A76" s="11" t="str">
        <f t="shared" si="3"/>
        <v>Carbon costs</v>
      </c>
      <c r="B76"/>
      <c r="C76" t="s">
        <v>71</v>
      </c>
      <c r="D76"/>
      <c r="E76" s="84">
        <f ca="1">IF(LEFT(A68,5)="blank",0,'Calc (Market Slow Rate)'!E$92*'Calc (Market Slow Rate)'!E$160+'Calc (Market Slow Rate)'!E$107*'Calc (Market Slow Rate)'!E$161+'Calc (Market Slow Rate)'!E$122*'Calc (Market Slow Rate)'!E$162+'Calc (Market Slow Rate)'!E$137*'Calc (Market Slow Rate)'!E$163+'Calc (Market Slow Rate)'!E$152*'Calc (Market Slow Rate)'!E$164)</f>
        <v>0</v>
      </c>
      <c r="F76" s="84">
        <f ca="1">IF(LEFT(A68,5)="blank",0,'Calc (Market Slow Rate)'!F$92*'Calc (Market Slow Rate)'!F$160+'Calc (Market Slow Rate)'!F$107*'Calc (Market Slow Rate)'!F$161+'Calc (Market Slow Rate)'!F$122*'Calc (Market Slow Rate)'!F$162+'Calc (Market Slow Rate)'!F$137*'Calc (Market Slow Rate)'!F$163+'Calc (Market Slow Rate)'!F$152*'Calc (Market Slow Rate)'!F$164)</f>
        <v>2.0333831431372906</v>
      </c>
      <c r="G76" s="84">
        <f ca="1">IF(LEFT(A68,5)="blank",0,'Calc (Market Slow Rate)'!G$92*'Calc (Market Slow Rate)'!G$160+'Calc (Market Slow Rate)'!G$107*'Calc (Market Slow Rate)'!G$161+'Calc (Market Slow Rate)'!G$122*'Calc (Market Slow Rate)'!G$162+'Calc (Market Slow Rate)'!G$137*'Calc (Market Slow Rate)'!G$163+'Calc (Market Slow Rate)'!G$152*'Calc (Market Slow Rate)'!G$164)</f>
        <v>2.382173276471935</v>
      </c>
      <c r="H76" s="84">
        <f ca="1">IF(LEFT(A68,5)="blank",0,'Calc (Market Slow Rate)'!H$92*'Calc (Market Slow Rate)'!H$160+'Calc (Market Slow Rate)'!H$107*'Calc (Market Slow Rate)'!H$161+'Calc (Market Slow Rate)'!H$122*'Calc (Market Slow Rate)'!H$162+'Calc (Market Slow Rate)'!H$137*'Calc (Market Slow Rate)'!H$163+'Calc (Market Slow Rate)'!H$152*'Calc (Market Slow Rate)'!H$164)</f>
        <v>2.242095972840036</v>
      </c>
    </row>
    <row r="77" spans="1:13" ht="17.25" thickBot="1" x14ac:dyDescent="0.35">
      <c r="A77" s="11" t="str">
        <f t="shared" si="3"/>
        <v>Large Scale Renewable Energy Target</v>
      </c>
      <c r="B77"/>
      <c r="C77" t="s">
        <v>71</v>
      </c>
      <c r="D77"/>
      <c r="E77" s="84">
        <f ca="1">IF(LEFT(A68,5)="blank",0,'Calc (Market Slow Rate)'!$E$93*'Calc (Market Slow Rate)'!$E$160+'Calc (Market Slow Rate)'!$E$108*'Calc (Market Slow Rate)'!$E$161+'Calc (Market Slow Rate)'!$E$123*'Calc (Market Slow Rate)'!$E$162+'Calc (Market Slow Rate)'!$E$138*'Calc (Market Slow Rate)'!$E$163+'Calc (Market Slow Rate)'!$E$153*'Calc (Market Slow Rate)'!$E$164)</f>
        <v>0.27242894063629625</v>
      </c>
      <c r="F77" s="84">
        <f ca="1">IF(LEFT(A68,5)="blank",0,'Calc (Market Slow Rate)'!$F$93*'Calc (Market Slow Rate)'!$F$160+'Calc (Market Slow Rate)'!$F$108*'Calc (Market Slow Rate)'!$F$161+'Calc (Market Slow Rate)'!$F$123*'Calc (Market Slow Rate)'!$F$162+'Calc (Market Slow Rate)'!$F$138*'Calc (Market Slow Rate)'!$F$163+'Calc (Market Slow Rate)'!$F$153*'Calc (Market Slow Rate)'!$F$164)</f>
        <v>0.45505302506099338</v>
      </c>
      <c r="G77" s="84">
        <f ca="1">IF(LEFT(A68,5)="blank",0,'Calc (Market Slow Rate)'!$G$93*'Calc (Market Slow Rate)'!$G$160+'Calc (Market Slow Rate)'!$G$108*'Calc (Market Slow Rate)'!$G$161+'Calc (Market Slow Rate)'!$G$123*'Calc (Market Slow Rate)'!$G$162+'Calc (Market Slow Rate)'!$G$138*'Calc (Market Slow Rate)'!$G$163+'Calc (Market Slow Rate)'!$G$153*'Calc (Market Slow Rate)'!$G$164)</f>
        <v>0.48761506188121834</v>
      </c>
      <c r="H77" s="84">
        <f ca="1">IF(LEFT(A68,5)="blank",0,'Calc (Market Slow Rate)'!$H$93*'Calc (Market Slow Rate)'!$H$160+'Calc (Market Slow Rate)'!$H$108*'Calc (Market Slow Rate)'!$H$161+'Calc (Market Slow Rate)'!$H$123*'Calc (Market Slow Rate)'!$H$162+'Calc (Market Slow Rate)'!$H$138*'Calc (Market Slow Rate)'!$H$163+'Calc (Market Slow Rate)'!$H$153*'Calc (Market Slow Rate)'!$H$164)</f>
        <v>0.5163630921341863</v>
      </c>
    </row>
    <row r="78" spans="1:13" ht="17.25" thickBot="1" x14ac:dyDescent="0.35">
      <c r="A78" s="11" t="str">
        <f t="shared" si="3"/>
        <v>Small Scale Renewable Energy Scheme</v>
      </c>
      <c r="B78"/>
      <c r="C78" t="s">
        <v>71</v>
      </c>
      <c r="D78"/>
      <c r="E78" s="84">
        <f ca="1">IF(LEFT(A68,5)="blank",0,'Calc (Market Slow Rate)'!$E$94*'Calc (Market Slow Rate)'!$E$160+'Calc (Market Slow Rate)'!$E$109*'Calc (Market Slow Rate)'!$E$161+'Calc (Market Slow Rate)'!$E$124*'Calc (Market Slow Rate)'!$E$162+'Calc (Market Slow Rate)'!$E$139*'Calc (Market Slow Rate)'!$E$163+'Calc (Market Slow Rate)'!$E$154*'Calc (Market Slow Rate)'!$E$164)</f>
        <v>0.62320831075477701</v>
      </c>
      <c r="F78" s="84">
        <f ca="1">IF(LEFT(A68,5)="blank",0,'Calc (Market Slow Rate)'!$F$94*'Calc (Market Slow Rate)'!$F$160+'Calc (Market Slow Rate)'!$F$109*'Calc (Market Slow Rate)'!$F$161+'Calc (Market Slow Rate)'!$F$124*'Calc (Market Slow Rate)'!$F$162+'Calc (Market Slow Rate)'!$F$139*'Calc (Market Slow Rate)'!$F$163+'Calc (Market Slow Rate)'!$F$154*'Calc (Market Slow Rate)'!$F$164)</f>
        <v>0.55992165725799836</v>
      </c>
      <c r="G78" s="84">
        <f ca="1">IF(LEFT(A68,5)="blank",0,'Calc (Market Slow Rate)'!$G$94*'Calc (Market Slow Rate)'!$G$160+'Calc (Market Slow Rate)'!$G$109*'Calc (Market Slow Rate)'!$G$161+'Calc (Market Slow Rate)'!$G$124*'Calc (Market Slow Rate)'!$G$162+'Calc (Market Slow Rate)'!$G$139*'Calc (Market Slow Rate)'!$G$163+'Calc (Market Slow Rate)'!$G$154*'Calc (Market Slow Rate)'!$G$164)</f>
        <v>0.24643573880571468</v>
      </c>
      <c r="H78" s="84">
        <f ca="1">IF(LEFT(A68,5)="blank",0,'Calc (Market Slow Rate)'!$H$94*'Calc (Market Slow Rate)'!$H$160+'Calc (Market Slow Rate)'!$H$109*'Calc (Market Slow Rate)'!$H$161+'Calc (Market Slow Rate)'!$H$124*'Calc (Market Slow Rate)'!$H$162+'Calc (Market Slow Rate)'!$H$139*'Calc (Market Slow Rate)'!$H$163+'Calc (Market Slow Rate)'!$H$154*'Calc (Market Slow Rate)'!$H$164)</f>
        <v>0.214139317195849</v>
      </c>
    </row>
    <row r="79" spans="1:13" ht="17.25" thickBot="1" x14ac:dyDescent="0.35">
      <c r="A79" s="11" t="str">
        <f t="shared" si="3"/>
        <v>Energy savings</v>
      </c>
      <c r="B79"/>
      <c r="C79" t="s">
        <v>71</v>
      </c>
      <c r="D79"/>
      <c r="E79" s="84">
        <f ca="1">IF(LEFT(A68,5)="blank",0,'Calc (Market Slow Rate)'!$E$95*'Calc (Market Slow Rate)'!$E$160+'Calc (Market Slow Rate)'!$E$110*'Calc (Market Slow Rate)'!$E$161+'Calc (Market Slow Rate)'!$E$125*'Calc (Market Slow Rate)'!$E$162+'Calc (Market Slow Rate)'!$E$140*'Calc (Market Slow Rate)'!$E$163+'Calc (Market Slow Rate)'!$E$155*'Calc (Market Slow Rate)'!$E$164)</f>
        <v>0.11172499999999999</v>
      </c>
      <c r="F79" s="84">
        <f ca="1">IF(LEFT(A68,5)="blank",0,'Calc (Market Slow Rate)'!$F$95*'Calc (Market Slow Rate)'!$F$160+'Calc (Market Slow Rate)'!$F$110*'Calc (Market Slow Rate)'!$F$161+'Calc (Market Slow Rate)'!$F$125*'Calc (Market Slow Rate)'!$F$162+'Calc (Market Slow Rate)'!$F$140*'Calc (Market Slow Rate)'!$F$163+'Calc (Market Slow Rate)'!$F$155*'Calc (Market Slow Rate)'!$F$164)</f>
        <v>0.15494958761426933</v>
      </c>
      <c r="G79" s="84">
        <f ca="1">IF(LEFT(A68,5)="blank",0,'Calc (Market Slow Rate)'!$G$95*'Calc (Market Slow Rate)'!$G$160+'Calc (Market Slow Rate)'!$G$110*'Calc (Market Slow Rate)'!$G$161+'Calc (Market Slow Rate)'!$G$125*'Calc (Market Slow Rate)'!$G$162+'Calc (Market Slow Rate)'!$G$140*'Calc (Market Slow Rate)'!$G$163+'Calc (Market Slow Rate)'!$G$155*'Calc (Market Slow Rate)'!$G$164)</f>
        <v>0</v>
      </c>
      <c r="H79" s="84">
        <f ca="1">IF(LEFT(A68,5)="blank",0,'Calc (Market Slow Rate)'!$H$95*'Calc (Market Slow Rate)'!$H$160+'Calc (Market Slow Rate)'!$H$110*'Calc (Market Slow Rate)'!$H$161+'Calc (Market Slow Rate)'!$H$125*'Calc (Market Slow Rate)'!$H$162+'Calc (Market Slow Rate)'!$H$140*'Calc (Market Slow Rate)'!$H$163+'Calc (Market Slow Rate)'!$H$155*'Calc (Market Slow Rate)'!$H$164)</f>
        <v>0</v>
      </c>
    </row>
    <row r="80" spans="1:13" ht="17.25" thickBot="1" x14ac:dyDescent="0.35">
      <c r="A80" s="11" t="str">
        <f t="shared" si="3"/>
        <v>Blank</v>
      </c>
      <c r="B80"/>
      <c r="C80" t="s">
        <v>71</v>
      </c>
      <c r="D80"/>
      <c r="E80" s="84">
        <f ca="1">IF(LEFT(A68,5)="blank",0,'Calc (Market Slow Rate)'!$E$96*'Calc (Market Slow Rate)'!$E$160+'Calc (Market Slow Rate)'!$E$111*'Calc (Market Slow Rate)'!$E$161+'Calc (Market Slow Rate)'!$E$126*'Calc (Market Slow Rate)'!$E$162+'Calc (Market Slow Rate)'!$E$141*'Calc (Market Slow Rate)'!$E$163+'Calc (Market Slow Rate)'!$E$156*'Calc (Market Slow Rate)'!$E$164)</f>
        <v>0</v>
      </c>
      <c r="F80" s="84">
        <f ca="1">IF(LEFT(A68,5)="blank",0,'Calc (Market Slow Rate)'!$F$96*'Calc (Market Slow Rate)'!$F$160+'Calc (Market Slow Rate)'!$F$111*'Calc (Market Slow Rate)'!$F$161+'Calc (Market Slow Rate)'!$F$126*'Calc (Market Slow Rate)'!$F$162+'Calc (Market Slow Rate)'!$F$141*'Calc (Market Slow Rate)'!$F$163+'Calc (Market Slow Rate)'!$F$156*'Calc (Market Slow Rate)'!$G$18)</f>
        <v>0</v>
      </c>
      <c r="G80" s="84">
        <f ca="1">IF(LEFT(A68,5)="blank",0,'Calc (Market Slow Rate)'!$G$96*'Calc (Market Slow Rate)'!$G$160+'Calc (Market Slow Rate)'!$G$111*'Calc (Market Slow Rate)'!$G$161+'Calc (Market Slow Rate)'!$G$126*'Calc (Market Slow Rate)'!$G$162+'Calc (Market Slow Rate)'!$G$141*'Calc (Market Slow Rate)'!$G$163+'Calc (Market Slow Rate)'!$G$156*'Calc (Market Slow Rate)'!$G$164)</f>
        <v>0</v>
      </c>
      <c r="H80" s="84">
        <f ca="1">IF(LEFT(A68,5)="blank",0,'Calc (Market Slow Rate)'!$H$96*'Calc (Market Slow Rate)'!$H$160+'Calc (Market Slow Rate)'!$H$111*'Calc (Market Slow Rate)'!$H$161+'Calc (Market Slow Rate)'!$H$126*'Calc (Market Slow Rate)'!$H$162+'Calc (Market Slow Rate)'!$H$141*'Calc (Market Slow Rate)'!$H$163+'Calc (Market Slow Rate)'!$H$156*'Calc (Market Slow Rate)'!$H$164)</f>
        <v>0</v>
      </c>
      <c r="J80" s="29"/>
      <c r="K80" s="29"/>
      <c r="L80" s="29"/>
      <c r="M80" s="29"/>
    </row>
    <row r="81" spans="1:13" ht="17.25" thickBot="1" x14ac:dyDescent="0.35">
      <c r="A81" t="str">
        <f>A66</f>
        <v>Total</v>
      </c>
      <c r="B81"/>
      <c r="C81" t="s">
        <v>71</v>
      </c>
      <c r="D81"/>
      <c r="E81" s="84">
        <f ca="1">SUM(E69:E80)</f>
        <v>25.415712938136757</v>
      </c>
      <c r="F81" s="84">
        <f ca="1">SUM(F69:F80)</f>
        <v>30.416355852573126</v>
      </c>
      <c r="G81" s="84">
        <f ca="1">SUM(G69:G80)</f>
        <v>30.100590748969466</v>
      </c>
      <c r="H81" s="84">
        <f ca="1">SUM(H69:H80)</f>
        <v>30.451371354879683</v>
      </c>
      <c r="J81" s="29"/>
      <c r="K81" s="29"/>
      <c r="L81" s="29"/>
      <c r="M81" s="29"/>
    </row>
    <row r="84" spans="1:13" ht="17.25" thickBot="1" x14ac:dyDescent="0.35"/>
    <row r="85" spans="1:13" ht="17.25" thickBot="1" x14ac:dyDescent="0.35">
      <c r="A85" s="33" t="str">
        <f ca="1">IFERROR(RIGHT(LEFT(A8,LEN(A8)-1),LEN(LEFT(A8,LEN(A8)-1))-FIND("(",LEFT(A8,LEN(A8)-1))),"blank")</f>
        <v>Jurisdiction</v>
      </c>
      <c r="E85" s="84">
        <f ca="1">IF(LEFT($A85,5)="blank",0,E21)</f>
        <v>25.415712938136757</v>
      </c>
      <c r="F85" s="84">
        <f t="shared" ref="F85:H85" ca="1" si="4">IF(LEFT($A85,5)="blank",0,F21)</f>
        <v>30.416355852573126</v>
      </c>
      <c r="G85" s="84">
        <f t="shared" ca="1" si="4"/>
        <v>29.80108514702799</v>
      </c>
      <c r="H85" s="84">
        <f t="shared" ca="1" si="4"/>
        <v>30.738051435735546</v>
      </c>
    </row>
    <row r="86" spans="1:13" ht="17.25" thickBot="1" x14ac:dyDescent="0.35">
      <c r="A86" s="33" t="str">
        <f ca="1">IFERROR(RIGHT(LEFT(A23,LEN(A23)-1),LEN(LEFT(A23,LEN(A23)-1))-FIND("(",LEFT(A23,LEN(A23)-1))),"blank")</f>
        <v>LRMC Planning case</v>
      </c>
      <c r="E86" s="84">
        <f ca="1">IF(LEFT($A86,5)="blank",0,E36)</f>
        <v>25.415712938136757</v>
      </c>
      <c r="F86" s="84">
        <f t="shared" ref="F86:H86" ca="1" si="5">IF(LEFT($A86,5)="blank",0,F36)</f>
        <v>30.416355852573126</v>
      </c>
      <c r="G86" s="84">
        <f t="shared" ca="1" si="5"/>
        <v>29.80108514702799</v>
      </c>
      <c r="H86" s="84">
        <f t="shared" ca="1" si="5"/>
        <v>30.738051435735546</v>
      </c>
    </row>
    <row r="87" spans="1:13" ht="17.25" thickBot="1" x14ac:dyDescent="0.35">
      <c r="A87" s="33" t="str">
        <f ca="1">IFERROR(RIGHT(LEFT(A38,LEN(A38)-1),LEN(LEFT(A38,LEN(A38)-1))-FIND("(",LEFT(A38,LEN(A38)-1))),"blank")</f>
        <v>LRMC Slow Rate</v>
      </c>
      <c r="E87" s="84">
        <f ca="1">IF(LEFT($A87,5)="blank",0,E51)</f>
        <v>25.415712938136757</v>
      </c>
      <c r="F87" s="84">
        <f t="shared" ref="F87:H87" ca="1" si="6">IF(LEFT($A87,5)="blank",0,F51)</f>
        <v>30.416355852573126</v>
      </c>
      <c r="G87" s="84">
        <f t="shared" ca="1" si="6"/>
        <v>29.932636111763376</v>
      </c>
      <c r="H87" s="84">
        <f t="shared" ca="1" si="6"/>
        <v>30.846044899401662</v>
      </c>
    </row>
    <row r="88" spans="1:13" ht="17.25" thickBot="1" x14ac:dyDescent="0.35">
      <c r="A88" s="33" t="str">
        <f ca="1">IFERROR(RIGHT(LEFT(A53,LEN(A53)-1),LEN(LEFT(A53,LEN(A53)-1))-FIND("(",LEFT(A53,LEN(A53)-1))),"blank")</f>
        <v>Market Planning Case</v>
      </c>
      <c r="E88" s="84">
        <f ca="1">IF(LEFT($A88,5)="blank",0,E66)</f>
        <v>25.415712938136757</v>
      </c>
      <c r="F88" s="84">
        <f t="shared" ref="F88:H88" ca="1" si="7">IF(LEFT($A88,5)="blank",0,F66)</f>
        <v>30.416355852573126</v>
      </c>
      <c r="G88" s="84">
        <f t="shared" ca="1" si="7"/>
        <v>29.603195197993628</v>
      </c>
      <c r="H88" s="84">
        <f t="shared" ca="1" si="7"/>
        <v>30.436940156207246</v>
      </c>
    </row>
    <row r="89" spans="1:13" ht="17.25" thickBot="1" x14ac:dyDescent="0.35">
      <c r="A89" s="33" t="str">
        <f ca="1">IFERROR(RIGHT(LEFT(A68,LEN(A68)-1),LEN(LEFT(A68,LEN(A68)-1))-FIND("(",LEFT(A68,LEN(A68)-1))),"blank")</f>
        <v>Market Slow Rate</v>
      </c>
      <c r="E89" s="84">
        <f ca="1">IF(LEFT($A89,5)="blank",0,E81)</f>
        <v>25.415712938136757</v>
      </c>
      <c r="F89" s="84">
        <f t="shared" ref="F89:H89" ca="1" si="8">IF(LEFT($A89,5)="blank",0,F81)</f>
        <v>30.416355852573126</v>
      </c>
      <c r="G89" s="84">
        <f t="shared" ca="1" si="8"/>
        <v>30.100590748969466</v>
      </c>
      <c r="H89" s="84">
        <f t="shared" ca="1" si="8"/>
        <v>30.451371354879683</v>
      </c>
    </row>
    <row r="90" spans="1:13" x14ac:dyDescent="0.3">
      <c r="A90" s="33"/>
    </row>
    <row r="91" spans="1:13" ht="17.25" thickBot="1" x14ac:dyDescent="0.35">
      <c r="A91" s="21" t="str">
        <f ca="1">A8</f>
        <v>Calc (Jurisdiction)</v>
      </c>
      <c r="E91" s="102"/>
      <c r="F91" s="102"/>
      <c r="G91" s="102"/>
      <c r="H91" s="102"/>
    </row>
    <row r="92" spans="1:13" ht="17.25" thickBot="1" x14ac:dyDescent="0.35">
      <c r="A92" s="17" t="s">
        <v>7</v>
      </c>
      <c r="E92" s="84">
        <f ca="1">IF(LEFT($A91,5)="blank",0,E9+E16)</f>
        <v>7.4317900083507746</v>
      </c>
      <c r="F92" s="84">
        <f t="shared" ref="F92:H92" ca="1" si="9">IF(LEFT($A91,5)="blank",0,F9+F16)</f>
        <v>9.618326897054402</v>
      </c>
      <c r="G92" s="84">
        <f t="shared" ca="1" si="9"/>
        <v>9.1343103219194539</v>
      </c>
      <c r="H92" s="84">
        <f t="shared" ca="1" si="9"/>
        <v>9.3970087315358874</v>
      </c>
    </row>
    <row r="93" spans="1:13" ht="17.25" thickBot="1" x14ac:dyDescent="0.35">
      <c r="A93" s="17" t="s">
        <v>46</v>
      </c>
      <c r="E93" s="84">
        <f ca="1">IF(LEFT($A91,5)="blank",0,E10)</f>
        <v>2.1615566278438139</v>
      </c>
      <c r="F93" s="84">
        <f t="shared" ref="F93:H93" ca="1" si="10">IF(LEFT($A91,5)="blank",0,F10)</f>
        <v>3.5510793848411084</v>
      </c>
      <c r="G93" s="84">
        <f t="shared" ca="1" si="10"/>
        <v>3.7984706638230836</v>
      </c>
      <c r="H93" s="84">
        <f t="shared" ca="1" si="10"/>
        <v>4.0630968278311732</v>
      </c>
    </row>
    <row r="94" spans="1:13" ht="17.25" thickBot="1" x14ac:dyDescent="0.35">
      <c r="A94" s="17" t="s">
        <v>45</v>
      </c>
      <c r="E94" s="84">
        <f ca="1">IF(LEFT($A91,5)="blank",0,IF('Input Global'!$B$61="No",E11+E15+E19,E11+E15))</f>
        <v>12.121416376457077</v>
      </c>
      <c r="F94" s="84">
        <f ca="1">IF(LEFT($A91,5)="blank",0,IF('Input Global'!$B$61="No",F11+F15+F19,F11+F15))</f>
        <v>13.06170134569639</v>
      </c>
      <c r="G94" s="84">
        <f ca="1">IF(LEFT($A91,5)="blank",0,IF('Input Global'!$B$61="No",G11+G15+G19,G11+G15))</f>
        <v>13.114027062507988</v>
      </c>
      <c r="H94" s="84">
        <f ca="1">IF(LEFT($A91,5)="blank",0,IF('Input Global'!$B$61="No",H11+H15+H19,H11+H15))</f>
        <v>13.441877739070689</v>
      </c>
    </row>
    <row r="95" spans="1:13" ht="17.25" thickBot="1" x14ac:dyDescent="0.35">
      <c r="A95" s="17" t="s">
        <v>21</v>
      </c>
      <c r="E95" s="84">
        <f ca="1">IF(LEFT($A91,5)="blank",0,IF('Input Global'!$B$61="No",E12+E13+E17+E18+E20,E12+E13+E17+E18+E19+E20))</f>
        <v>3.7009499254850913</v>
      </c>
      <c r="F95" s="84">
        <f ca="1">IF(LEFT($A91,5)="blank",0,IF('Input Global'!$B$61="No",F12+F13+F17+F18+F20,F12+F13+F17+F18+F19+F20))</f>
        <v>4.1852482249812235</v>
      </c>
      <c r="G95" s="84">
        <f ca="1">IF(LEFT($A91,5)="blank",0,IF('Input Global'!$B$61="No",G12+G13+G17+G18+G20,G12+G13+G17+G18+G19+G20))</f>
        <v>3.7542770987774712</v>
      </c>
      <c r="H95" s="84">
        <f ca="1">IF(LEFT($A91,5)="blank",0,IF('Input Global'!$B$61="No",H12+H13+H17+H18+H20,H12+H13+H17+H18+H19+H20))</f>
        <v>3.8360681372977976</v>
      </c>
    </row>
    <row r="96" spans="1:13" ht="17.25" thickBot="1" x14ac:dyDescent="0.35">
      <c r="A96" s="20" t="s">
        <v>61</v>
      </c>
      <c r="B96" s="20"/>
      <c r="C96" s="20"/>
      <c r="D96" s="20"/>
      <c r="E96" s="84">
        <f ca="1">SUM(E92:E95)</f>
        <v>25.415712938136757</v>
      </c>
      <c r="F96" s="84">
        <f t="shared" ref="F96:H96" ca="1" si="11">SUM(F92:F95)</f>
        <v>30.416355852573123</v>
      </c>
      <c r="G96" s="84">
        <f t="shared" ca="1" si="11"/>
        <v>29.801085147027997</v>
      </c>
      <c r="H96" s="84">
        <f t="shared" ca="1" si="11"/>
        <v>30.738051435735546</v>
      </c>
    </row>
    <row r="97" spans="1:8" x14ac:dyDescent="0.3">
      <c r="A97" s="34" t="s">
        <v>98</v>
      </c>
      <c r="E97" s="34" t="b">
        <f ca="1">E21=E96</f>
        <v>1</v>
      </c>
      <c r="F97" s="34" t="b">
        <f t="shared" ref="F97:H97" ca="1" si="12">F21=F96</f>
        <v>1</v>
      </c>
      <c r="G97" s="34" t="b">
        <f t="shared" ca="1" si="12"/>
        <v>1</v>
      </c>
      <c r="H97" s="34" t="b">
        <f t="shared" ca="1" si="12"/>
        <v>1</v>
      </c>
    </row>
    <row r="99" spans="1:8" ht="17.25" thickBot="1" x14ac:dyDescent="0.35">
      <c r="A99" s="21" t="str">
        <f ca="1">A23</f>
        <v>Calc (LRMC Planning case)</v>
      </c>
    </row>
    <row r="100" spans="1:8" ht="17.25" thickBot="1" x14ac:dyDescent="0.35">
      <c r="A100" s="17" t="str">
        <f>A92</f>
        <v>Wholesale</v>
      </c>
      <c r="E100" s="84">
        <f ca="1">IF(LEFT($A99,5)="blank",0,E24+E31)</f>
        <v>7.4317900083507746</v>
      </c>
      <c r="F100" s="84">
        <f t="shared" ref="F100:H100" ca="1" si="13">IF(LEFT($A99,5)="blank",0,F24+F31)</f>
        <v>9.618326897054402</v>
      </c>
      <c r="G100" s="84">
        <f t="shared" ca="1" si="13"/>
        <v>9.1343103219194539</v>
      </c>
      <c r="H100" s="84">
        <f t="shared" ca="1" si="13"/>
        <v>9.3970087315358874</v>
      </c>
    </row>
    <row r="101" spans="1:8" ht="17.25" thickBot="1" x14ac:dyDescent="0.35">
      <c r="A101" s="17" t="str">
        <f t="shared" ref="A101:A103" si="14">A93</f>
        <v>Transmission</v>
      </c>
      <c r="E101" s="84">
        <f ca="1">IF(LEFT($A99,5)="blank",0,E25)</f>
        <v>2.1615566278438139</v>
      </c>
      <c r="F101" s="84">
        <f t="shared" ref="F101:H101" ca="1" si="15">IF(LEFT($A99,5)="blank",0,F25)</f>
        <v>3.5510793848411084</v>
      </c>
      <c r="G101" s="84">
        <f t="shared" ca="1" si="15"/>
        <v>3.7984706638230836</v>
      </c>
      <c r="H101" s="84">
        <f t="shared" ca="1" si="15"/>
        <v>4.0630968278311732</v>
      </c>
    </row>
    <row r="102" spans="1:8" ht="17.25" thickBot="1" x14ac:dyDescent="0.35">
      <c r="A102" s="17" t="str">
        <f t="shared" si="14"/>
        <v>Distribution</v>
      </c>
      <c r="E102" s="84">
        <f ca="1">IF(LEFT($A99,5)="blank",0,IF('Input Global'!$B$61="No",E26+E30+E34,E26+E30))</f>
        <v>12.121416376457077</v>
      </c>
      <c r="F102" s="84">
        <f ca="1">IF(LEFT($A99,5)="blank",0,IF('Input Global'!$B$61="No",F26+F30+F34,F26+F30))</f>
        <v>13.06170134569639</v>
      </c>
      <c r="G102" s="84">
        <f ca="1">IF(LEFT($A99,5)="blank",0,IF('Input Global'!$B$61="No",G26+G30+G34,G26+G30))</f>
        <v>13.114027062507988</v>
      </c>
      <c r="H102" s="84">
        <f ca="1">IF(LEFT($A99,5)="blank",0,IF('Input Global'!$B$61="No",H26+H30+H34,H26+H30))</f>
        <v>13.441877739070689</v>
      </c>
    </row>
    <row r="103" spans="1:8" ht="17.25" thickBot="1" x14ac:dyDescent="0.35">
      <c r="A103" s="17" t="str">
        <f t="shared" si="14"/>
        <v>Retail</v>
      </c>
      <c r="E103" s="84">
        <f ca="1">IF(LEFT($A99,5)="blank",0,IF('Input Global'!$B$61="No",E27+E28+E32+E33+E35,E27+E28+E32+E33+E34+E35))</f>
        <v>3.7009499254850913</v>
      </c>
      <c r="F103" s="84">
        <f ca="1">IF(LEFT($A99,5)="blank",0,IF('Input Global'!$B$61="No",F27+F28+F32+F33+F35,F27+F28+F32+F33+F34+F35))</f>
        <v>4.1852482249812235</v>
      </c>
      <c r="G103" s="84">
        <f ca="1">IF(LEFT($A99,5)="blank",0,IF('Input Global'!$B$61="No",G27+G28+G32+G33+G35,G27+G28+G32+G33+G34+G35))</f>
        <v>3.7542770987774712</v>
      </c>
      <c r="H103" s="84">
        <f ca="1">IF(LEFT($A99,5)="blank",0,IF('Input Global'!$B$61="No",H27+H28+H32+H33+H35,H27+H28+H32+H33+H34+H35))</f>
        <v>3.8360681372977976</v>
      </c>
    </row>
    <row r="104" spans="1:8" ht="17.25" thickBot="1" x14ac:dyDescent="0.35">
      <c r="A104" s="20" t="s">
        <v>61</v>
      </c>
      <c r="B104" s="20"/>
      <c r="C104" s="20"/>
      <c r="D104" s="20"/>
      <c r="E104" s="84">
        <f ca="1">SUM(E100:E103)</f>
        <v>25.415712938136757</v>
      </c>
      <c r="F104" s="84">
        <f t="shared" ref="F104:H104" ca="1" si="16">SUM(F100:F103)</f>
        <v>30.416355852573123</v>
      </c>
      <c r="G104" s="84">
        <f t="shared" ca="1" si="16"/>
        <v>29.801085147027997</v>
      </c>
      <c r="H104" s="84">
        <f t="shared" ca="1" si="16"/>
        <v>30.738051435735546</v>
      </c>
    </row>
    <row r="105" spans="1:8" x14ac:dyDescent="0.3">
      <c r="A105" s="34" t="s">
        <v>98</v>
      </c>
      <c r="E105" s="34" t="b">
        <f ca="1">E36=E104</f>
        <v>1</v>
      </c>
      <c r="F105" s="34" t="b">
        <f t="shared" ref="F105:H105" ca="1" si="17">F36=F104</f>
        <v>1</v>
      </c>
      <c r="G105" s="34" t="b">
        <f t="shared" ca="1" si="17"/>
        <v>1</v>
      </c>
      <c r="H105" s="34" t="b">
        <f t="shared" ca="1" si="17"/>
        <v>1</v>
      </c>
    </row>
    <row r="107" spans="1:8" ht="17.25" thickBot="1" x14ac:dyDescent="0.35">
      <c r="A107" s="21" t="str">
        <f ca="1">A38</f>
        <v>Calc (LRMC Slow Rate)</v>
      </c>
    </row>
    <row r="108" spans="1:8" ht="17.25" thickBot="1" x14ac:dyDescent="0.35">
      <c r="A108" s="17" t="str">
        <f>A100</f>
        <v>Wholesale</v>
      </c>
      <c r="E108" s="84">
        <f ca="1">IF(LEFT($A107,5)="blank",0,E39+E46)</f>
        <v>7.4317900083507746</v>
      </c>
      <c r="F108" s="84">
        <f t="shared" ref="F108:H108" ca="1" si="18">IF(LEFT($A107,5)="blank",0,F39+F46)</f>
        <v>9.618326897054402</v>
      </c>
      <c r="G108" s="84">
        <f t="shared" ca="1" si="18"/>
        <v>9.2591214666890469</v>
      </c>
      <c r="H108" s="84">
        <f t="shared" ca="1" si="18"/>
        <v>9.4994693829195498</v>
      </c>
    </row>
    <row r="109" spans="1:8" ht="17.25" thickBot="1" x14ac:dyDescent="0.35">
      <c r="A109" s="17" t="str">
        <f t="shared" ref="A109:A111" si="19">A101</f>
        <v>Transmission</v>
      </c>
      <c r="E109" s="84">
        <f ca="1">IF(LEFT($A107,5)="blank",0,E40)</f>
        <v>2.1615566278438139</v>
      </c>
      <c r="F109" s="84">
        <f t="shared" ref="F109:H109" ca="1" si="20">IF(LEFT($A107,5)="blank",0,F40)</f>
        <v>3.5510793848411084</v>
      </c>
      <c r="G109" s="84">
        <f t="shared" ca="1" si="20"/>
        <v>3.7984706638230836</v>
      </c>
      <c r="H109" s="84">
        <f t="shared" ca="1" si="20"/>
        <v>4.0630968278311732</v>
      </c>
    </row>
    <row r="110" spans="1:8" ht="17.25" thickBot="1" x14ac:dyDescent="0.35">
      <c r="A110" s="17" t="str">
        <f t="shared" si="19"/>
        <v>Distribution</v>
      </c>
      <c r="E110" s="84">
        <f ca="1">IF(LEFT($A107,5)="blank",0,IF('Input Global'!$B$61="No",E41+E45+E49,E41+E45))</f>
        <v>12.121416376457077</v>
      </c>
      <c r="F110" s="84">
        <f ca="1">IF(LEFT($A107,5)="blank",0,IF('Input Global'!$B$61="No",F41+F45+F49,F41+F45))</f>
        <v>13.06170134569639</v>
      </c>
      <c r="G110" s="84">
        <f ca="1">IF(LEFT($A107,5)="blank",0,IF('Input Global'!$B$61="No",G41+G45+G49,G41+G45))</f>
        <v>13.114027062507988</v>
      </c>
      <c r="H110" s="84">
        <f ca="1">IF(LEFT($A107,5)="blank",0,IF('Input Global'!$B$61="No",H41+H45+H49,H41+H45))</f>
        <v>13.441877739070689</v>
      </c>
    </row>
    <row r="111" spans="1:8" ht="17.25" thickBot="1" x14ac:dyDescent="0.35">
      <c r="A111" s="17" t="str">
        <f t="shared" si="19"/>
        <v>Retail</v>
      </c>
      <c r="E111" s="84">
        <f ca="1">IF(LEFT($A107,5)="blank",0,IF('Input Global'!$B$61="No",E42+E43+E47+E48+E50,E42+E43+E47+E48+E49+E50))</f>
        <v>3.7009499254850913</v>
      </c>
      <c r="F111" s="84">
        <f ca="1">IF(LEFT($A107,5)="blank",0,IF('Input Global'!$B$61="No",F42+F43+F47+F48+F50,F42+F43+F47+F48+F49+F50))</f>
        <v>4.1852482249812235</v>
      </c>
      <c r="G111" s="84">
        <f ca="1">IF(LEFT($A107,5)="blank",0,IF('Input Global'!$B$61="No",G42+G43+G47+G48+G50,G42+G43+G47+G48+G49+G50))</f>
        <v>3.7610169187432567</v>
      </c>
      <c r="H111" s="84">
        <f ca="1">IF(LEFT($A107,5)="blank",0,IF('Input Global'!$B$61="No",H42+H43+H47+H48+H50,H42+H43+H47+H48+H49+H50))</f>
        <v>3.841600949580259</v>
      </c>
    </row>
    <row r="112" spans="1:8" ht="17.25" thickBot="1" x14ac:dyDescent="0.35">
      <c r="A112" s="20" t="s">
        <v>61</v>
      </c>
      <c r="B112" s="20"/>
      <c r="C112" s="20"/>
      <c r="D112" s="20"/>
      <c r="E112" s="84">
        <f ca="1">SUM(E108:E111)</f>
        <v>25.415712938136757</v>
      </c>
      <c r="F112" s="84">
        <f t="shared" ref="F112:H112" ca="1" si="21">SUM(F108:F111)</f>
        <v>30.416355852573123</v>
      </c>
      <c r="G112" s="84">
        <f t="shared" ca="1" si="21"/>
        <v>29.932636111763376</v>
      </c>
      <c r="H112" s="84">
        <f t="shared" ca="1" si="21"/>
        <v>30.846044899401672</v>
      </c>
    </row>
    <row r="113" spans="1:8" x14ac:dyDescent="0.3">
      <c r="A113" s="34" t="s">
        <v>98</v>
      </c>
      <c r="E113" s="34" t="b">
        <f ca="1">E51=E112</f>
        <v>1</v>
      </c>
      <c r="F113" s="34" t="b">
        <f t="shared" ref="F113:H113" ca="1" si="22">F51=F112</f>
        <v>1</v>
      </c>
      <c r="G113" s="34" t="b">
        <f t="shared" ca="1" si="22"/>
        <v>1</v>
      </c>
      <c r="H113" s="34" t="b">
        <f t="shared" ca="1" si="22"/>
        <v>1</v>
      </c>
    </row>
    <row r="115" spans="1:8" ht="17.25" thickBot="1" x14ac:dyDescent="0.35">
      <c r="A115" s="21" t="str">
        <f ca="1">A53</f>
        <v>Calc (Market Planning Case)</v>
      </c>
    </row>
    <row r="116" spans="1:8" ht="17.25" thickBot="1" x14ac:dyDescent="0.35">
      <c r="A116" s="17" t="str">
        <f>A108</f>
        <v>Wholesale</v>
      </c>
      <c r="E116" s="84">
        <f ca="1">IF(LEFT($A115,5)="blank",0,E54+E61)</f>
        <v>7.4317900083507746</v>
      </c>
      <c r="F116" s="84">
        <f t="shared" ref="F116:H116" ca="1" si="23">IF(LEFT($A115,5)="blank",0,F54+F61)</f>
        <v>9.618326897054402</v>
      </c>
      <c r="G116" s="84">
        <f t="shared" ca="1" si="23"/>
        <v>8.9465589471240357</v>
      </c>
      <c r="H116" s="84">
        <f t="shared" ca="1" si="23"/>
        <v>9.1113244056077072</v>
      </c>
    </row>
    <row r="117" spans="1:8" ht="17.25" thickBot="1" x14ac:dyDescent="0.35">
      <c r="A117" s="17" t="str">
        <f t="shared" ref="A117:A119" si="24">A109</f>
        <v>Transmission</v>
      </c>
      <c r="E117" s="84">
        <f ca="1">IF(LEFT($A115,5)="blank",0,E55)</f>
        <v>2.1615566278438139</v>
      </c>
      <c r="F117" s="84">
        <f t="shared" ref="F117:H117" ca="1" si="25">IF(LEFT($A115,5)="blank",0,F55)</f>
        <v>3.5510793848411084</v>
      </c>
      <c r="G117" s="84">
        <f t="shared" ca="1" si="25"/>
        <v>3.7984706638230836</v>
      </c>
      <c r="H117" s="84">
        <f t="shared" ca="1" si="25"/>
        <v>4.0630968278311732</v>
      </c>
    </row>
    <row r="118" spans="1:8" ht="17.25" thickBot="1" x14ac:dyDescent="0.35">
      <c r="A118" s="17" t="str">
        <f t="shared" si="24"/>
        <v>Distribution</v>
      </c>
      <c r="E118" s="84">
        <f ca="1">IF(LEFT($A115,5)="blank",0,IF('Input Global'!$B$61="No",E56+E60+E64,E56+E60))</f>
        <v>12.121416376457077</v>
      </c>
      <c r="F118" s="84">
        <f ca="1">IF(LEFT($A115,5)="blank",0,IF('Input Global'!$B$61="No",F56+F60+F64,F56+F60))</f>
        <v>13.06170134569639</v>
      </c>
      <c r="G118" s="84">
        <f ca="1">IF(LEFT($A115,5)="blank",0,IF('Input Global'!$B$61="No",G56+G60+G64,G56+G60))</f>
        <v>13.114027062507988</v>
      </c>
      <c r="H118" s="84">
        <f ca="1">IF(LEFT($A115,5)="blank",0,IF('Input Global'!$B$61="No",H56+H60+H64,H56+H60))</f>
        <v>13.441877739070689</v>
      </c>
    </row>
    <row r="119" spans="1:8" ht="17.25" thickBot="1" x14ac:dyDescent="0.35">
      <c r="A119" s="17" t="str">
        <f t="shared" si="24"/>
        <v>Retail</v>
      </c>
      <c r="E119" s="84">
        <f ca="1">IF(LEFT($A115,5)="blank",0,IF('Input Global'!$B$61="No",E57+E58+E62+E63+E65,E57+E58+E62+E63+E64+E65))</f>
        <v>3.7009499254850913</v>
      </c>
      <c r="F119" s="84">
        <f ca="1">IF(LEFT($A115,5)="blank",0,IF('Input Global'!$B$61="No",F57+F58+F62+F63+F65,F57+F58+F62+F63+F64+F65))</f>
        <v>4.1852482249812235</v>
      </c>
      <c r="G119" s="84">
        <f ca="1">IF(LEFT($A115,5)="blank",0,IF('Input Global'!$B$61="No",G57+G58+G62+G63+G65,G57+G58+G62+G63+G64+G65))</f>
        <v>3.7441385245385184</v>
      </c>
      <c r="H119" s="84">
        <f ca="1">IF(LEFT($A115,5)="blank",0,IF('Input Global'!$B$61="No",H57+H58+H62+H63+H65,H57+H58+H62+H63+H64+H65))</f>
        <v>3.8206411836976759</v>
      </c>
    </row>
    <row r="120" spans="1:8" ht="17.25" thickBot="1" x14ac:dyDescent="0.35">
      <c r="A120" s="20" t="s">
        <v>61</v>
      </c>
      <c r="B120" s="20"/>
      <c r="C120" s="20"/>
      <c r="D120" s="20"/>
      <c r="E120" s="84">
        <f ca="1">SUM(E116:E119)</f>
        <v>25.415712938136757</v>
      </c>
      <c r="F120" s="84">
        <f t="shared" ref="F120:H120" ca="1" si="26">SUM(F116:F119)</f>
        <v>30.416355852573123</v>
      </c>
      <c r="G120" s="84">
        <f t="shared" ca="1" si="26"/>
        <v>29.603195197993625</v>
      </c>
      <c r="H120" s="84">
        <f t="shared" ca="1" si="26"/>
        <v>30.436940156207243</v>
      </c>
    </row>
    <row r="121" spans="1:8" x14ac:dyDescent="0.3">
      <c r="A121" s="34" t="s">
        <v>98</v>
      </c>
      <c r="E121" s="34" t="b">
        <f ca="1">E66=E120</f>
        <v>1</v>
      </c>
      <c r="F121" s="34" t="b">
        <f t="shared" ref="F121:H121" ca="1" si="27">F66=F120</f>
        <v>1</v>
      </c>
      <c r="G121" s="34" t="b">
        <f t="shared" ca="1" si="27"/>
        <v>1</v>
      </c>
      <c r="H121" s="34" t="b">
        <f t="shared" ca="1" si="27"/>
        <v>1</v>
      </c>
    </row>
    <row r="123" spans="1:8" ht="17.25" thickBot="1" x14ac:dyDescent="0.35">
      <c r="A123" s="21" t="str">
        <f ca="1">A68</f>
        <v>Calc (Market Slow Rate)</v>
      </c>
    </row>
    <row r="124" spans="1:8" ht="17.25" thickBot="1" x14ac:dyDescent="0.35">
      <c r="A124" s="17" t="str">
        <f>A116</f>
        <v>Wholesale</v>
      </c>
      <c r="E124" s="84">
        <f ca="1">IF(LEFT($A123,5)="blank",0,E69+E76)</f>
        <v>7.4317900083507746</v>
      </c>
      <c r="F124" s="84">
        <f t="shared" ref="F124:H124" ca="1" si="28">IF(LEFT($A123,5)="blank",0,F69+F76)</f>
        <v>9.618326897054402</v>
      </c>
      <c r="G124" s="84">
        <f t="shared" ca="1" si="28"/>
        <v>9.4184712173589631</v>
      </c>
      <c r="H124" s="84">
        <f t="shared" ca="1" si="28"/>
        <v>9.1250163046254436</v>
      </c>
    </row>
    <row r="125" spans="1:8" ht="17.25" thickBot="1" x14ac:dyDescent="0.35">
      <c r="A125" s="17" t="str">
        <f t="shared" ref="A125:A127" si="29">A117</f>
        <v>Transmission</v>
      </c>
      <c r="E125" s="84">
        <f ca="1">IF(LEFT($A123,5)="blank",0,E70)</f>
        <v>2.1615566278438139</v>
      </c>
      <c r="F125" s="84">
        <f t="shared" ref="F125:H125" ca="1" si="30">IF(LEFT($A123,5)="blank",0,F70)</f>
        <v>3.5510793848411084</v>
      </c>
      <c r="G125" s="84">
        <f t="shared" ca="1" si="30"/>
        <v>3.7984706638230836</v>
      </c>
      <c r="H125" s="84">
        <f t="shared" ca="1" si="30"/>
        <v>4.0630968278311732</v>
      </c>
    </row>
    <row r="126" spans="1:8" ht="17.25" thickBot="1" x14ac:dyDescent="0.35">
      <c r="A126" s="17" t="str">
        <f t="shared" si="29"/>
        <v>Distribution</v>
      </c>
      <c r="E126" s="84">
        <f ca="1">IF(LEFT($A123,5)="blank",0,IF('Input Global'!$B$61="No",E71+E75+E79,E71+E75))</f>
        <v>12.121416376457077</v>
      </c>
      <c r="F126" s="84">
        <f ca="1">IF(LEFT($A123,5)="blank",0,IF('Input Global'!$B$61="No",F71+F75+F79,F71+F75))</f>
        <v>13.06170134569639</v>
      </c>
      <c r="G126" s="84">
        <f ca="1">IF(LEFT($A123,5)="blank",0,IF('Input Global'!$B$61="No",G71+G75+G79,G71+G75))</f>
        <v>13.114027062507988</v>
      </c>
      <c r="H126" s="84">
        <f ca="1">IF(LEFT($A123,5)="blank",0,IF('Input Global'!$B$61="No",H71+H75+H79,H71+H75))</f>
        <v>13.441877739070689</v>
      </c>
    </row>
    <row r="127" spans="1:8" ht="17.25" thickBot="1" x14ac:dyDescent="0.35">
      <c r="A127" s="17" t="str">
        <f t="shared" si="29"/>
        <v>Retail</v>
      </c>
      <c r="E127" s="84">
        <f ca="1">IF(LEFT($A123,5)="blank",0,IF('Input Global'!$B$61="No",E72+E73+E77+E78+E80,E72+E73+E77+E78+E79+E80))</f>
        <v>3.7009499254850913</v>
      </c>
      <c r="F127" s="84">
        <f ca="1">IF(LEFT($A123,5)="blank",0,IF('Input Global'!$B$61="No",F72+F73+F77+F78+F80,F72+F73+F77+F78+F79+F80))</f>
        <v>4.1852482249812235</v>
      </c>
      <c r="G127" s="84">
        <f ca="1">IF(LEFT($A123,5)="blank",0,IF('Input Global'!$B$61="No",G72+G73+G77+G78+G80,G72+G73+G77+G78+G79+G80))</f>
        <v>3.7696218052794319</v>
      </c>
      <c r="H127" s="84">
        <f ca="1">IF(LEFT($A123,5)="blank",0,IF('Input Global'!$B$61="No",H72+H73+H77+H78+H80,H72+H73+H77+H78+H79+H80))</f>
        <v>3.8213804833523777</v>
      </c>
    </row>
    <row r="128" spans="1:8" ht="17.25" thickBot="1" x14ac:dyDescent="0.35">
      <c r="A128" s="20" t="s">
        <v>61</v>
      </c>
      <c r="B128" s="20"/>
      <c r="C128" s="20"/>
      <c r="D128" s="20"/>
      <c r="E128" s="84">
        <f ca="1">SUM(E124:E127)</f>
        <v>25.415712938136757</v>
      </c>
      <c r="F128" s="84">
        <f t="shared" ref="F128:H128" ca="1" si="31">SUM(F124:F127)</f>
        <v>30.416355852573123</v>
      </c>
      <c r="G128" s="84">
        <f t="shared" ca="1" si="31"/>
        <v>30.100590748969466</v>
      </c>
      <c r="H128" s="84">
        <f t="shared" ca="1" si="31"/>
        <v>30.451371354879683</v>
      </c>
    </row>
    <row r="129" spans="1:8" x14ac:dyDescent="0.3">
      <c r="A129" s="34" t="s">
        <v>98</v>
      </c>
      <c r="E129" s="34" t="b">
        <f ca="1">E81=E128</f>
        <v>1</v>
      </c>
      <c r="F129" s="34" t="b">
        <f t="shared" ref="F129:H129" ca="1" si="32">F81=F128</f>
        <v>1</v>
      </c>
      <c r="G129" s="34" t="b">
        <f t="shared" ca="1" si="32"/>
        <v>1</v>
      </c>
      <c r="H129" s="34" t="b">
        <f t="shared" ca="1" si="32"/>
        <v>1</v>
      </c>
    </row>
    <row r="131" spans="1:8" x14ac:dyDescent="0.3">
      <c r="A131" s="18"/>
    </row>
    <row r="132" spans="1:8" x14ac:dyDescent="0.3">
      <c r="E132" s="102"/>
      <c r="F132" s="102"/>
      <c r="G132" s="102"/>
      <c r="H132" s="102"/>
    </row>
    <row r="133" spans="1:8" x14ac:dyDescent="0.3">
      <c r="E133" s="102"/>
      <c r="F133" s="102"/>
      <c r="G133" s="102"/>
      <c r="H133" s="102"/>
    </row>
    <row r="134" spans="1:8" x14ac:dyDescent="0.3">
      <c r="E134" s="102"/>
      <c r="F134" s="102"/>
      <c r="G134" s="102"/>
      <c r="H134" s="102"/>
    </row>
    <row r="135" spans="1:8" x14ac:dyDescent="0.3">
      <c r="E135" s="102"/>
      <c r="F135" s="102"/>
      <c r="G135" s="102"/>
      <c r="H135" s="102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5" orientation="portrait" horizontalDpi="300" verticalDpi="300" r:id="rId1"/>
  <rowBreaks count="2" manualBreakCount="2">
    <brk id="52" max="7" man="1"/>
    <brk id="106" max="7" man="1"/>
  </rowBreaks>
  <colBreaks count="1" manualBreakCount="1">
    <brk id="8" max="1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4"/>
  <sheetViews>
    <sheetView zoomScaleNormal="100" workbookViewId="0">
      <pane xSplit="1" ySplit="4" topLeftCell="B5" activePane="bottomRight" state="frozen"/>
      <selection activeCell="E6" sqref="E6"/>
      <selection pane="topRight" activeCell="E6" sqref="E6"/>
      <selection pane="bottomLeft" activeCell="E6" sqref="E6"/>
      <selection pane="bottomRight" activeCell="A44" activeCellId="4" sqref="A11:XFD12 A21:XFD22 A28:XFD29 A36:XFD37 A44:XFD45"/>
    </sheetView>
  </sheetViews>
  <sheetFormatPr defaultColWidth="9.140625" defaultRowHeight="13.5" x14ac:dyDescent="0.25"/>
  <cols>
    <col min="1" max="1" width="61.140625" style="66" bestFit="1" customWidth="1"/>
    <col min="2" max="2" width="18.85546875" style="66" bestFit="1" customWidth="1"/>
    <col min="3" max="3" width="10.5703125" style="66" customWidth="1"/>
    <col min="4" max="8" width="14.5703125" style="66" bestFit="1" customWidth="1"/>
    <col min="9" max="9" width="12" style="66" bestFit="1" customWidth="1"/>
    <col min="10" max="10" width="9.85546875" style="66" bestFit="1" customWidth="1"/>
    <col min="11" max="13" width="9.5703125" style="66" bestFit="1" customWidth="1"/>
    <col min="14" max="16384" width="9.140625" style="66"/>
  </cols>
  <sheetData>
    <row r="1" spans="1:9" s="22" customFormat="1" ht="23.25" x14ac:dyDescent="0.35">
      <c r="A1" s="22" t="s">
        <v>7</v>
      </c>
      <c r="B1" s="67" t="str">
        <f ca="1">Index!B1</f>
        <v>2012 Pricing Trends - model - NSW</v>
      </c>
      <c r="C1" s="24"/>
      <c r="I1" s="120" t="s">
        <v>37</v>
      </c>
    </row>
    <row r="2" spans="1:9" s="22" customFormat="1" ht="18.75" x14ac:dyDescent="0.3">
      <c r="B2" s="25" t="str">
        <f ca="1">RIGHT(CELL("filename",B2),LEN(CELL("filename",B2))-SEARCH("]",CELL("filename",B2)))</f>
        <v>Input Global</v>
      </c>
      <c r="C2" s="26"/>
      <c r="I2" s="77" t="s">
        <v>31</v>
      </c>
    </row>
    <row r="3" spans="1:9" s="22" customFormat="1" ht="16.5" x14ac:dyDescent="0.3">
      <c r="I3" s="78" t="s">
        <v>38</v>
      </c>
    </row>
    <row r="4" spans="1:9" s="22" customFormat="1" ht="15" x14ac:dyDescent="0.3">
      <c r="B4" s="27" t="s">
        <v>16</v>
      </c>
      <c r="C4" s="27" t="s">
        <v>14</v>
      </c>
      <c r="D4" s="27" t="s">
        <v>11</v>
      </c>
      <c r="E4" s="27" t="s">
        <v>10</v>
      </c>
      <c r="F4" s="27" t="s">
        <v>9</v>
      </c>
      <c r="G4" s="27" t="s">
        <v>64</v>
      </c>
      <c r="H4" s="27" t="s">
        <v>8</v>
      </c>
    </row>
    <row r="7" spans="1:9" ht="18.75" x14ac:dyDescent="0.3">
      <c r="A7" s="16" t="s">
        <v>6</v>
      </c>
      <c r="B7" s="66" t="s">
        <v>65</v>
      </c>
    </row>
    <row r="8" spans="1:9" s="35" customFormat="1" ht="16.5" x14ac:dyDescent="0.3">
      <c r="A8" s="35" t="s">
        <v>5</v>
      </c>
      <c r="B8" s="135" t="s">
        <v>135</v>
      </c>
    </row>
    <row r="9" spans="1:9" s="35" customFormat="1" ht="16.5" x14ac:dyDescent="0.3">
      <c r="A9" s="35" t="s">
        <v>4</v>
      </c>
      <c r="B9" s="135" t="s">
        <v>137</v>
      </c>
    </row>
    <row r="10" spans="1:9" s="35" customFormat="1" ht="16.5" x14ac:dyDescent="0.3">
      <c r="A10" s="35" t="s">
        <v>3</v>
      </c>
      <c r="B10" s="135" t="s">
        <v>136</v>
      </c>
    </row>
    <row r="11" spans="1:9" s="35" customFormat="1" ht="16.5" hidden="1" x14ac:dyDescent="0.3">
      <c r="A11" s="35" t="s">
        <v>2</v>
      </c>
      <c r="B11" s="135" t="s">
        <v>139</v>
      </c>
    </row>
    <row r="12" spans="1:9" s="35" customFormat="1" ht="16.5" hidden="1" x14ac:dyDescent="0.3">
      <c r="A12" s="35" t="s">
        <v>1</v>
      </c>
      <c r="B12" s="135" t="s">
        <v>139</v>
      </c>
    </row>
    <row r="13" spans="1:9" s="35" customFormat="1" ht="16.5" x14ac:dyDescent="0.3"/>
    <row r="14" spans="1:9" ht="18.75" x14ac:dyDescent="0.3">
      <c r="A14" s="16" t="s">
        <v>0</v>
      </c>
      <c r="F14" s="124"/>
    </row>
    <row r="15" spans="1:9" s="35" customFormat="1" ht="16.5" x14ac:dyDescent="0.3">
      <c r="A15" s="35" t="s">
        <v>67</v>
      </c>
      <c r="F15" s="45"/>
      <c r="G15" s="148">
        <v>2.5000000000000001E-2</v>
      </c>
    </row>
    <row r="17" spans="1:8" ht="18.75" x14ac:dyDescent="0.3">
      <c r="A17" s="16" t="s">
        <v>13</v>
      </c>
      <c r="B17" s="68"/>
      <c r="C17" s="68"/>
    </row>
    <row r="18" spans="1:8" s="35" customFormat="1" ht="16.5" x14ac:dyDescent="0.3">
      <c r="A18" s="35" t="str">
        <f>Dist1</f>
        <v xml:space="preserve">Ausgrid </v>
      </c>
      <c r="B18" s="135" t="s">
        <v>138</v>
      </c>
      <c r="C18" s="35" t="s">
        <v>20</v>
      </c>
      <c r="D18" s="138">
        <v>7000</v>
      </c>
      <c r="E18" s="138">
        <v>7000</v>
      </c>
      <c r="F18" s="138">
        <v>7000</v>
      </c>
      <c r="G18" s="138">
        <v>7000</v>
      </c>
      <c r="H18" s="138">
        <v>7000</v>
      </c>
    </row>
    <row r="19" spans="1:8" s="35" customFormat="1" ht="16.5" x14ac:dyDescent="0.3">
      <c r="A19" s="35" t="str">
        <f>Dist2</f>
        <v>Essential</v>
      </c>
      <c r="B19" s="135" t="s">
        <v>138</v>
      </c>
      <c r="C19" s="35" t="s">
        <v>20</v>
      </c>
      <c r="D19" s="138">
        <v>7000</v>
      </c>
      <c r="E19" s="138">
        <v>7000</v>
      </c>
      <c r="F19" s="138">
        <v>7000</v>
      </c>
      <c r="G19" s="138">
        <v>7000</v>
      </c>
      <c r="H19" s="138">
        <v>7000</v>
      </c>
    </row>
    <row r="20" spans="1:8" s="35" customFormat="1" ht="16.5" x14ac:dyDescent="0.3">
      <c r="A20" s="35" t="str">
        <f>Dist3</f>
        <v>Endeavour</v>
      </c>
      <c r="B20" s="135" t="s">
        <v>138</v>
      </c>
      <c r="C20" s="35" t="s">
        <v>20</v>
      </c>
      <c r="D20" s="138">
        <v>7000</v>
      </c>
      <c r="E20" s="138">
        <v>7000</v>
      </c>
      <c r="F20" s="138">
        <v>7000</v>
      </c>
      <c r="G20" s="138">
        <v>7000</v>
      </c>
      <c r="H20" s="138">
        <v>7000</v>
      </c>
    </row>
    <row r="21" spans="1:8" s="35" customFormat="1" ht="16.5" hidden="1" x14ac:dyDescent="0.3">
      <c r="A21" s="35" t="str">
        <f>Dist4</f>
        <v>blank</v>
      </c>
      <c r="B21" s="135"/>
      <c r="C21" s="35" t="s">
        <v>20</v>
      </c>
      <c r="D21" s="138"/>
      <c r="E21" s="138"/>
      <c r="F21" s="138"/>
      <c r="G21" s="138"/>
      <c r="H21" s="138"/>
    </row>
    <row r="22" spans="1:8" s="35" customFormat="1" ht="16.5" hidden="1" x14ac:dyDescent="0.3">
      <c r="A22" s="35" t="str">
        <f>Dist5</f>
        <v>blank</v>
      </c>
      <c r="B22" s="135"/>
      <c r="C22" s="35" t="s">
        <v>20</v>
      </c>
      <c r="D22" s="138"/>
      <c r="E22" s="138"/>
      <c r="F22" s="138"/>
      <c r="G22" s="138"/>
      <c r="H22" s="138"/>
    </row>
    <row r="24" spans="1:8" ht="18.75" x14ac:dyDescent="0.3">
      <c r="A24" s="16" t="s">
        <v>12</v>
      </c>
    </row>
    <row r="25" spans="1:8" s="35" customFormat="1" ht="16.5" x14ac:dyDescent="0.3">
      <c r="A25" s="35" t="str">
        <f>Dist1</f>
        <v xml:space="preserve">Ausgrid </v>
      </c>
      <c r="B25" s="135" t="s">
        <v>138</v>
      </c>
      <c r="C25" s="35" t="s">
        <v>15</v>
      </c>
      <c r="D25" s="138">
        <v>1619922</v>
      </c>
      <c r="E25" s="138">
        <v>1619922</v>
      </c>
      <c r="F25" s="138">
        <v>1619922</v>
      </c>
      <c r="G25" s="138">
        <v>1619922</v>
      </c>
      <c r="H25" s="138">
        <v>1619922</v>
      </c>
    </row>
    <row r="26" spans="1:8" s="35" customFormat="1" ht="16.5" x14ac:dyDescent="0.3">
      <c r="A26" s="35" t="str">
        <f>Dist2</f>
        <v>Essential</v>
      </c>
      <c r="B26" s="135" t="s">
        <v>138</v>
      </c>
      <c r="C26" s="35" t="s">
        <v>15</v>
      </c>
      <c r="D26" s="138">
        <v>697860</v>
      </c>
      <c r="E26" s="138">
        <v>697860</v>
      </c>
      <c r="F26" s="138">
        <v>697860</v>
      </c>
      <c r="G26" s="138">
        <v>697860</v>
      </c>
      <c r="H26" s="138">
        <v>697860</v>
      </c>
    </row>
    <row r="27" spans="1:8" s="35" customFormat="1" ht="16.5" x14ac:dyDescent="0.3">
      <c r="A27" s="35" t="str">
        <f>Dist3</f>
        <v>Endeavour</v>
      </c>
      <c r="B27" s="135" t="s">
        <v>138</v>
      </c>
      <c r="C27" s="35" t="s">
        <v>15</v>
      </c>
      <c r="D27" s="138">
        <v>796899</v>
      </c>
      <c r="E27" s="138">
        <v>796899</v>
      </c>
      <c r="F27" s="138">
        <v>796899</v>
      </c>
      <c r="G27" s="138">
        <v>796899</v>
      </c>
      <c r="H27" s="138">
        <v>796899</v>
      </c>
    </row>
    <row r="28" spans="1:8" s="35" customFormat="1" ht="16.5" hidden="1" x14ac:dyDescent="0.3">
      <c r="A28" s="35" t="str">
        <f>Dist4</f>
        <v>blank</v>
      </c>
      <c r="B28" s="135"/>
      <c r="C28" s="35" t="s">
        <v>15</v>
      </c>
      <c r="D28" s="138"/>
      <c r="E28" s="138"/>
      <c r="F28" s="138"/>
      <c r="G28" s="138"/>
      <c r="H28" s="138"/>
    </row>
    <row r="29" spans="1:8" s="35" customFormat="1" ht="16.5" hidden="1" x14ac:dyDescent="0.3">
      <c r="A29" s="35" t="str">
        <f>Dist5</f>
        <v>blank</v>
      </c>
      <c r="B29" s="135"/>
      <c r="C29" s="35" t="s">
        <v>15</v>
      </c>
      <c r="D29" s="138"/>
      <c r="E29" s="138"/>
      <c r="F29" s="138"/>
      <c r="G29" s="138"/>
      <c r="H29" s="138"/>
    </row>
    <row r="30" spans="1:8" s="35" customFormat="1" ht="16.5" x14ac:dyDescent="0.3">
      <c r="A30" s="35" t="s">
        <v>61</v>
      </c>
      <c r="D30" s="107">
        <f>SUM(D25:D29)</f>
        <v>3114681</v>
      </c>
      <c r="E30" s="107">
        <f t="shared" ref="E30:H30" si="0">SUM(E25:E29)</f>
        <v>3114681</v>
      </c>
      <c r="F30" s="107">
        <f t="shared" si="0"/>
        <v>3114681</v>
      </c>
      <c r="G30" s="107">
        <f t="shared" si="0"/>
        <v>3114681</v>
      </c>
      <c r="H30" s="107">
        <f t="shared" si="0"/>
        <v>3114681</v>
      </c>
    </row>
    <row r="32" spans="1:8" ht="18.75" x14ac:dyDescent="0.3">
      <c r="A32" s="16" t="s">
        <v>49</v>
      </c>
    </row>
    <row r="33" spans="1:13" s="35" customFormat="1" ht="16.5" x14ac:dyDescent="0.3">
      <c r="A33" s="35" t="str">
        <f>Dist1 &amp; " region"</f>
        <v>Ausgrid  region</v>
      </c>
      <c r="B33" s="135" t="s">
        <v>138</v>
      </c>
      <c r="C33" s="35" t="s">
        <v>29</v>
      </c>
      <c r="D33" s="148">
        <v>5.3999999999999999E-2</v>
      </c>
      <c r="E33" s="148">
        <v>5.3999999999999999E-2</v>
      </c>
      <c r="F33" s="148">
        <v>5.3999999999999999E-2</v>
      </c>
      <c r="G33" s="148">
        <v>5.3999999999999999E-2</v>
      </c>
      <c r="H33" s="148">
        <v>5.3999999999999999E-2</v>
      </c>
      <c r="I33" s="66"/>
      <c r="J33" s="66"/>
      <c r="K33" s="66"/>
      <c r="L33" s="66"/>
      <c r="M33" s="57"/>
    </row>
    <row r="34" spans="1:13" s="35" customFormat="1" ht="16.5" x14ac:dyDescent="0.3">
      <c r="A34" s="35" t="str">
        <f>Dist2 &amp; " region"</f>
        <v>Essential region</v>
      </c>
      <c r="B34" s="135" t="s">
        <v>138</v>
      </c>
      <c r="C34" s="35" t="s">
        <v>29</v>
      </c>
      <c r="D34" s="148">
        <v>5.3999999999999999E-2</v>
      </c>
      <c r="E34" s="148">
        <v>5.3999999999999999E-2</v>
      </c>
      <c r="F34" s="148">
        <v>5.3999999999999999E-2</v>
      </c>
      <c r="G34" s="148">
        <v>5.3999999999999999E-2</v>
      </c>
      <c r="H34" s="148">
        <v>5.3999999999999999E-2</v>
      </c>
      <c r="I34" s="66"/>
      <c r="J34" s="66"/>
      <c r="K34" s="66"/>
      <c r="L34" s="66"/>
      <c r="M34" s="57"/>
    </row>
    <row r="35" spans="1:13" s="35" customFormat="1" ht="16.5" x14ac:dyDescent="0.3">
      <c r="A35" s="35" t="str">
        <f>Dist3 &amp; " region"</f>
        <v>Endeavour region</v>
      </c>
      <c r="B35" s="135" t="s">
        <v>138</v>
      </c>
      <c r="C35" s="35" t="s">
        <v>29</v>
      </c>
      <c r="D35" s="148">
        <v>5.3999999999999999E-2</v>
      </c>
      <c r="E35" s="148">
        <v>5.3999999999999999E-2</v>
      </c>
      <c r="F35" s="148">
        <v>5.3999999999999999E-2</v>
      </c>
      <c r="G35" s="148">
        <v>5.3999999999999999E-2</v>
      </c>
      <c r="H35" s="148">
        <v>5.3999999999999999E-2</v>
      </c>
      <c r="I35" s="66"/>
      <c r="J35" s="66"/>
      <c r="K35" s="66"/>
      <c r="L35" s="66"/>
      <c r="M35" s="57"/>
    </row>
    <row r="36" spans="1:13" s="35" customFormat="1" ht="16.5" hidden="1" x14ac:dyDescent="0.3">
      <c r="A36" s="35" t="str">
        <f>Dist4 &amp; " region"</f>
        <v>blank region</v>
      </c>
      <c r="B36" s="135"/>
      <c r="C36" s="35" t="s">
        <v>29</v>
      </c>
      <c r="D36" s="149"/>
      <c r="E36" s="149"/>
      <c r="F36" s="149"/>
      <c r="G36" s="149"/>
      <c r="H36" s="149"/>
      <c r="I36" s="66"/>
      <c r="J36" s="66"/>
      <c r="K36" s="66"/>
      <c r="L36" s="66"/>
      <c r="M36" s="57"/>
    </row>
    <row r="37" spans="1:13" s="35" customFormat="1" ht="16.5" hidden="1" x14ac:dyDescent="0.3">
      <c r="A37" s="35" t="str">
        <f>Dist5 &amp; " region"</f>
        <v>blank region</v>
      </c>
      <c r="B37" s="135"/>
      <c r="C37" s="35" t="s">
        <v>29</v>
      </c>
      <c r="D37" s="149"/>
      <c r="E37" s="149"/>
      <c r="F37" s="149"/>
      <c r="G37" s="149"/>
      <c r="H37" s="149"/>
      <c r="I37" s="66"/>
      <c r="J37" s="66"/>
      <c r="K37" s="66"/>
      <c r="L37" s="66"/>
      <c r="M37" s="57"/>
    </row>
    <row r="38" spans="1:13" s="35" customFormat="1" ht="16.5" x14ac:dyDescent="0.3">
      <c r="A38" s="42"/>
      <c r="D38" s="72"/>
      <c r="E38" s="72"/>
      <c r="F38" s="72"/>
      <c r="I38" s="66"/>
      <c r="J38" s="66"/>
      <c r="K38" s="66"/>
      <c r="L38" s="66"/>
    </row>
    <row r="39" spans="1:13" ht="18.75" x14ac:dyDescent="0.3">
      <c r="A39" s="16" t="s">
        <v>66</v>
      </c>
      <c r="F39" s="69"/>
    </row>
    <row r="40" spans="1:13" s="35" customFormat="1" ht="16.5" x14ac:dyDescent="0.3">
      <c r="A40" s="135" t="s">
        <v>140</v>
      </c>
      <c r="B40" s="135" t="s">
        <v>141</v>
      </c>
      <c r="C40" s="104" t="s">
        <v>29</v>
      </c>
      <c r="E40" s="148">
        <v>-5.6099999999999997E-2</v>
      </c>
      <c r="F40" s="148">
        <v>-5.6099999999999997E-2</v>
      </c>
      <c r="G40" s="148">
        <v>-5.6099999999999997E-2</v>
      </c>
      <c r="H40" s="148">
        <v>-5.6099999999999997E-2</v>
      </c>
      <c r="J40" s="104"/>
      <c r="K40" s="104"/>
      <c r="M40" s="45"/>
    </row>
    <row r="41" spans="1:13" s="35" customFormat="1" ht="16.5" x14ac:dyDescent="0.3">
      <c r="A41" s="35" t="str">
        <f>Dist1</f>
        <v xml:space="preserve">Ausgrid </v>
      </c>
      <c r="B41" s="135" t="s">
        <v>141</v>
      </c>
      <c r="C41" s="104" t="s">
        <v>29</v>
      </c>
      <c r="E41" s="148">
        <v>-0.18179999999999999</v>
      </c>
      <c r="F41" s="148">
        <v>-0.18179999999999999</v>
      </c>
      <c r="G41" s="148">
        <v>7.7000000000000002E-3</v>
      </c>
      <c r="H41" s="148">
        <v>0</v>
      </c>
      <c r="J41" s="104"/>
      <c r="K41" s="104"/>
    </row>
    <row r="42" spans="1:13" s="35" customFormat="1" ht="16.5" x14ac:dyDescent="0.3">
      <c r="A42" s="35" t="str">
        <f>Dist2</f>
        <v>Essential</v>
      </c>
      <c r="B42" s="135" t="s">
        <v>141</v>
      </c>
      <c r="C42" s="104" t="s">
        <v>29</v>
      </c>
      <c r="E42" s="148">
        <v>-0.17899999999999999</v>
      </c>
      <c r="F42" s="148">
        <v>-0.14749999999999999</v>
      </c>
      <c r="G42" s="148">
        <v>3.9899999999999998E-2</v>
      </c>
      <c r="H42" s="148">
        <v>0</v>
      </c>
      <c r="J42" s="66"/>
      <c r="K42" s="66"/>
      <c r="M42" s="125"/>
    </row>
    <row r="43" spans="1:13" s="35" customFormat="1" ht="16.5" x14ac:dyDescent="0.3">
      <c r="A43" s="35" t="str">
        <f>Dist3</f>
        <v>Endeavour</v>
      </c>
      <c r="B43" s="135" t="s">
        <v>141</v>
      </c>
      <c r="C43" s="104" t="s">
        <v>29</v>
      </c>
      <c r="E43" s="148">
        <v>-0.13</v>
      </c>
      <c r="F43" s="148">
        <v>-1.5E-3</v>
      </c>
      <c r="G43" s="148">
        <v>1.72E-2</v>
      </c>
      <c r="H43" s="148">
        <v>0</v>
      </c>
      <c r="J43" s="66"/>
      <c r="K43" s="66"/>
    </row>
    <row r="44" spans="1:13" s="35" customFormat="1" ht="16.5" hidden="1" x14ac:dyDescent="0.3">
      <c r="A44" s="35" t="str">
        <f>Dist4</f>
        <v>blank</v>
      </c>
      <c r="B44" s="135" t="s">
        <v>141</v>
      </c>
      <c r="C44" s="104" t="s">
        <v>29</v>
      </c>
      <c r="E44" s="148"/>
      <c r="F44" s="148"/>
      <c r="G44" s="148"/>
      <c r="H44" s="148"/>
    </row>
    <row r="45" spans="1:13" s="35" customFormat="1" ht="16.5" hidden="1" x14ac:dyDescent="0.3">
      <c r="A45" s="35" t="str">
        <f>Dist5</f>
        <v>blank</v>
      </c>
      <c r="B45" s="135" t="s">
        <v>141</v>
      </c>
      <c r="C45" s="104" t="s">
        <v>29</v>
      </c>
      <c r="E45" s="148"/>
      <c r="F45" s="148"/>
      <c r="G45" s="148"/>
      <c r="H45" s="148"/>
    </row>
    <row r="46" spans="1:13" s="104" customFormat="1" ht="16.5" x14ac:dyDescent="0.3">
      <c r="J46" s="66"/>
      <c r="K46" s="66"/>
    </row>
    <row r="47" spans="1:13" s="104" customFormat="1" ht="16.5" x14ac:dyDescent="0.3">
      <c r="A47" s="104" t="str">
        <f>TNSP &amp; " growth factor"</f>
        <v>Transgrid growth factor</v>
      </c>
      <c r="B47" s="135" t="s">
        <v>141</v>
      </c>
      <c r="C47" s="104" t="s">
        <v>29</v>
      </c>
      <c r="D47" s="150">
        <v>1.2E-2</v>
      </c>
      <c r="E47" s="150">
        <v>1.2E-2</v>
      </c>
      <c r="F47" s="150">
        <v>1.2E-2</v>
      </c>
      <c r="G47" s="150">
        <v>1.2E-2</v>
      </c>
      <c r="H47" s="150">
        <v>1.2E-2</v>
      </c>
      <c r="J47" s="66"/>
      <c r="K47" s="66"/>
    </row>
    <row r="48" spans="1:13" s="104" customFormat="1" ht="16.5" x14ac:dyDescent="0.3">
      <c r="J48" s="35"/>
      <c r="K48" s="35"/>
    </row>
    <row r="49" spans="1:11" ht="16.5" x14ac:dyDescent="0.3">
      <c r="J49" s="35"/>
      <c r="K49" s="35"/>
    </row>
    <row r="50" spans="1:11" ht="18.75" x14ac:dyDescent="0.3">
      <c r="A50" s="16" t="s">
        <v>69</v>
      </c>
    </row>
    <row r="51" spans="1:11" s="35" customFormat="1" ht="16.5" x14ac:dyDescent="0.3">
      <c r="A51" s="135" t="s">
        <v>142</v>
      </c>
      <c r="J51" s="66"/>
      <c r="K51" s="66"/>
    </row>
    <row r="52" spans="1:11" s="35" customFormat="1" ht="16.5" x14ac:dyDescent="0.3">
      <c r="A52" s="135" t="s">
        <v>149</v>
      </c>
      <c r="J52" s="66"/>
      <c r="K52" s="66"/>
    </row>
    <row r="53" spans="1:11" ht="16.5" x14ac:dyDescent="0.3">
      <c r="J53" s="104"/>
      <c r="K53" s="104"/>
    </row>
    <row r="54" spans="1:11" ht="18.75" x14ac:dyDescent="0.3">
      <c r="A54" s="16" t="s">
        <v>81</v>
      </c>
      <c r="J54" s="104"/>
      <c r="K54" s="104"/>
    </row>
    <row r="55" spans="1:11" s="35" customFormat="1" ht="16.5" x14ac:dyDescent="0.3">
      <c r="A55" s="79" t="s">
        <v>82</v>
      </c>
      <c r="B55" s="105" t="s">
        <v>122</v>
      </c>
    </row>
    <row r="56" spans="1:11" s="35" customFormat="1" ht="16.5" x14ac:dyDescent="0.3">
      <c r="A56" s="79" t="s">
        <v>83</v>
      </c>
      <c r="B56" s="105" t="s">
        <v>123</v>
      </c>
    </row>
    <row r="57" spans="1:11" ht="16.5" x14ac:dyDescent="0.3">
      <c r="B57" s="105" t="s">
        <v>121</v>
      </c>
    </row>
    <row r="59" spans="1:11" ht="18.75" x14ac:dyDescent="0.3">
      <c r="A59" s="16" t="s">
        <v>129</v>
      </c>
    </row>
    <row r="60" spans="1:11" s="104" customFormat="1" ht="16.5" x14ac:dyDescent="0.3">
      <c r="A60" s="104" t="s">
        <v>120</v>
      </c>
      <c r="B60" s="135" t="s">
        <v>121</v>
      </c>
      <c r="C60" s="112"/>
      <c r="E60" s="112"/>
      <c r="F60" s="112"/>
      <c r="G60" s="112"/>
      <c r="H60" s="112"/>
      <c r="J60" s="66"/>
      <c r="K60" s="66"/>
    </row>
    <row r="61" spans="1:11" s="104" customFormat="1" ht="14.25" customHeight="1" x14ac:dyDescent="0.3">
      <c r="A61" s="104" t="str">
        <f>"Is "&amp;Scheme1&amp;" included as part of total retail costs"</f>
        <v>Is Energy savings included as part of total retail costs</v>
      </c>
      <c r="B61" s="135" t="s">
        <v>82</v>
      </c>
      <c r="E61" s="112"/>
      <c r="F61" s="116"/>
      <c r="G61" s="55"/>
      <c r="H61" s="55"/>
      <c r="J61" s="66"/>
      <c r="K61" s="66"/>
    </row>
    <row r="62" spans="1:11" s="35" customFormat="1" ht="16.5" x14ac:dyDescent="0.3">
      <c r="A62" s="35" t="s">
        <v>86</v>
      </c>
      <c r="B62" s="135" t="s">
        <v>83</v>
      </c>
      <c r="F62" s="53"/>
      <c r="J62" s="66"/>
      <c r="K62" s="66"/>
    </row>
    <row r="63" spans="1:11" s="35" customFormat="1" ht="16.5" x14ac:dyDescent="0.3">
      <c r="A63" s="95" t="s">
        <v>94</v>
      </c>
      <c r="B63" s="135" t="s">
        <v>82</v>
      </c>
      <c r="C63" s="95"/>
      <c r="J63" s="66"/>
      <c r="K63" s="66"/>
    </row>
    <row r="64" spans="1:11" ht="16.5" x14ac:dyDescent="0.3">
      <c r="A64" s="104" t="s">
        <v>131</v>
      </c>
      <c r="B64" s="104"/>
      <c r="C64" s="104"/>
      <c r="D64" s="135" t="s">
        <v>83</v>
      </c>
      <c r="E64" s="135" t="s">
        <v>83</v>
      </c>
      <c r="F64" s="135" t="s">
        <v>83</v>
      </c>
      <c r="G64" s="135" t="s">
        <v>83</v>
      </c>
      <c r="H64" s="135" t="s">
        <v>83</v>
      </c>
    </row>
  </sheetData>
  <sheetProtection password="D9A8" sheet="1" objects="1" scenarios="1"/>
  <dataValidations count="2">
    <dataValidation type="list" allowBlank="1" showInputMessage="1" showErrorMessage="1" sqref="B60">
      <formula1>$B$55:$B$57</formula1>
    </dataValidation>
    <dataValidation type="list" allowBlank="1" showInputMessage="1" showErrorMessage="1" sqref="D64:H64 B61:B63">
      <formula1>$A$55:$A$56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23"/>
  <sheetViews>
    <sheetView topLeftCell="A53" zoomScaleNormal="100" workbookViewId="0">
      <selection activeCell="L65" sqref="L65"/>
    </sheetView>
  </sheetViews>
  <sheetFormatPr defaultRowHeight="15" x14ac:dyDescent="0.25"/>
  <cols>
    <col min="1" max="1" width="35.42578125" customWidth="1"/>
    <col min="2" max="2" width="10.85546875" bestFit="1" customWidth="1"/>
    <col min="5" max="5" width="10.42578125" customWidth="1"/>
    <col min="6" max="6" width="11" customWidth="1"/>
    <col min="7" max="8" width="10.42578125" bestFit="1" customWidth="1"/>
  </cols>
  <sheetData>
    <row r="1" spans="1:11" s="98" customFormat="1" ht="23.25" x14ac:dyDescent="0.35">
      <c r="A1" s="98" t="s">
        <v>7</v>
      </c>
      <c r="B1" s="122" t="str">
        <f ca="1">'Input Global'!B1</f>
        <v>2012 Pricing Trends - model - NSW</v>
      </c>
      <c r="C1" s="99"/>
      <c r="D1" s="99"/>
      <c r="E1" s="99"/>
      <c r="F1" s="99"/>
      <c r="I1" s="105" t="s">
        <v>37</v>
      </c>
    </row>
    <row r="2" spans="1:11" s="98" customFormat="1" ht="19.5" thickBot="1" x14ac:dyDescent="0.35">
      <c r="B2" s="100" t="str">
        <f ca="1">RIGHT(CELL("filename",B2),LEN(CELL("filename",B2))-SEARCH("]",CELL("filename",B2)))</f>
        <v>Input Frontier</v>
      </c>
      <c r="C2" s="100"/>
      <c r="D2" s="100"/>
      <c r="E2" s="100"/>
      <c r="F2" s="100"/>
      <c r="I2" s="85" t="s">
        <v>31</v>
      </c>
    </row>
    <row r="3" spans="1:11" s="98" customFormat="1" ht="16.5" x14ac:dyDescent="0.3">
      <c r="I3" s="92" t="s">
        <v>38</v>
      </c>
    </row>
    <row r="4" spans="1:11" s="98" customFormat="1" ht="15.75" x14ac:dyDescent="0.3">
      <c r="B4" s="27"/>
      <c r="C4" s="101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1" s="37" customFormat="1" ht="18.75" x14ac:dyDescent="0.3">
      <c r="A6" s="36" t="s">
        <v>117</v>
      </c>
    </row>
    <row r="8" spans="1:11" ht="16.5" x14ac:dyDescent="0.3">
      <c r="A8" t="str">
        <f>A114</f>
        <v xml:space="preserve">Market Fees </v>
      </c>
      <c r="B8" t="s">
        <v>43</v>
      </c>
      <c r="C8" t="s">
        <v>133</v>
      </c>
      <c r="F8" s="110">
        <f>F114*100/1000</f>
        <v>3.9600000000000003E-2</v>
      </c>
      <c r="G8" s="110">
        <f>G114*(1+inflation)*100/1000</f>
        <v>4.0500000000000001E-2</v>
      </c>
      <c r="H8" s="110">
        <f>H114*(1+inflation)^2*100/1000</f>
        <v>4.1250000000000002E-2</v>
      </c>
    </row>
    <row r="9" spans="1:11" ht="16.5" x14ac:dyDescent="0.3">
      <c r="A9" t="str">
        <f>A115</f>
        <v>Ancillary Services</v>
      </c>
      <c r="B9" t="s">
        <v>43</v>
      </c>
      <c r="C9" t="s">
        <v>133</v>
      </c>
      <c r="F9" s="110">
        <f>F115*100/1000</f>
        <v>7.0517370134505639E-2</v>
      </c>
      <c r="G9" s="110">
        <f>G115*(1+inflation)*100/1000</f>
        <v>7.2280304387868283E-2</v>
      </c>
      <c r="H9" s="110">
        <f>H115*(1+inflation)^2*100/1000</f>
        <v>7.4087311997564978E-2</v>
      </c>
    </row>
    <row r="11" spans="1:11" x14ac:dyDescent="0.25">
      <c r="A11" s="38" t="str">
        <f>A117</f>
        <v xml:space="preserve">Ausgrid </v>
      </c>
    </row>
    <row r="12" spans="1:11" ht="16.5" x14ac:dyDescent="0.3">
      <c r="A12" t="str">
        <f ca="1">A118</f>
        <v>Calc (LRMC Planning case)</v>
      </c>
      <c r="B12" t="s">
        <v>43</v>
      </c>
      <c r="C12" t="s">
        <v>133</v>
      </c>
      <c r="F12" s="110">
        <f>IF('Input General'!F239=0, F118*100/1000+F$8+F$9, F118*100/1000+F$9)</f>
        <v>8.6668416942899498</v>
      </c>
      <c r="G12" s="110">
        <f>IF('Input General'!G239=0, G118*(1+inflation)*100/1000+G$9+G$8, G118*(1+inflation)*100/1000+G$9)</f>
        <v>8.891045704135923</v>
      </c>
      <c r="H12" s="110">
        <f>IF('Input General'!H239=0,H118*(1+inflation)^2*100/1000+H$8+H$9,H118*(1+inflation)^2*100/1000+H$9)</f>
        <v>9.055524982703723</v>
      </c>
      <c r="K12" s="111"/>
    </row>
    <row r="13" spans="1:11" ht="16.5" x14ac:dyDescent="0.3">
      <c r="A13" t="str">
        <f ca="1">A119</f>
        <v>Calc (LRMC Slow Rate)</v>
      </c>
      <c r="B13" t="s">
        <v>43</v>
      </c>
      <c r="C13" t="s">
        <v>133</v>
      </c>
      <c r="F13" s="110">
        <f>IF('Input General'!F239=0, F119*100/1000+F$8+F$9, F119*100/1000+F$9)</f>
        <v>8.227071099761087</v>
      </c>
      <c r="G13" s="110">
        <f>IF('Input General'!G239=0, G119*(1+inflation)*100/1000+G$9+G$8, G119*(1+inflation)*100/1000+G$9)</f>
        <v>8.570967430265755</v>
      </c>
      <c r="H13" s="110">
        <f>IF('Input General'!H239=0,H119*(1+inflation)^2*100/1000+H$8+H$9,H119*(1+inflation)^2*100/1000+H$9)</f>
        <v>8.6566394793270494</v>
      </c>
    </row>
    <row r="14" spans="1:11" ht="16.5" x14ac:dyDescent="0.3">
      <c r="A14" t="str">
        <f ca="1">A120</f>
        <v>Calc (Market Planning Case)</v>
      </c>
      <c r="B14" t="s">
        <v>43</v>
      </c>
      <c r="C14" t="s">
        <v>133</v>
      </c>
      <c r="F14" s="110">
        <f>IF('Input General'!F239=0, F120*100/1000+F$8+F$9, F120*100/1000+F$9)</f>
        <v>6.8555464371875692</v>
      </c>
      <c r="G14" s="110">
        <f>IF('Input General'!G239=0, G120*(1+inflation)*100/1000+G$9+G$8, G120*(1+inflation)*100/1000+G$9)</f>
        <v>6.7169009909933459</v>
      </c>
      <c r="H14" s="110">
        <f>IF('Input General'!H239=0,H120*(1+inflation)^2*100/1000+H$8+H$9,H120*(1+inflation)^2*100/1000+H$9)</f>
        <v>6.9837084882900138</v>
      </c>
    </row>
    <row r="15" spans="1:11" ht="16.5" x14ac:dyDescent="0.3">
      <c r="A15" t="str">
        <f ca="1">A121</f>
        <v>Calc (Market Slow Rate)</v>
      </c>
      <c r="B15" t="s">
        <v>43</v>
      </c>
      <c r="C15" t="s">
        <v>133</v>
      </c>
      <c r="F15" s="110">
        <f>IF('Input General'!F239=0, F121*100/1000+F$8+F$9, F121*100/1000+F$9)</f>
        <v>6.5543030862959268</v>
      </c>
      <c r="G15" s="110">
        <f>IF('Input General'!G239=0, G121*(1+inflation)*100/1000+G$9+G$8, G121*(1+inflation)*100/1000+G$9)</f>
        <v>6.8525401892434568</v>
      </c>
      <c r="H15" s="110">
        <f>IF('Input General'!H239=0,H121*(1+inflation)^2*100/1000+H$8+H$9,H121*(1+inflation)^2*100/1000+H$9)</f>
        <v>6.6262042293116972</v>
      </c>
    </row>
    <row r="17" spans="1:8" x14ac:dyDescent="0.25">
      <c r="A17" s="38" t="str">
        <f>A123</f>
        <v>Essential</v>
      </c>
    </row>
    <row r="18" spans="1:8" ht="16.5" x14ac:dyDescent="0.3">
      <c r="A18" t="str">
        <f ca="1">A124</f>
        <v>Calc (LRMC Planning case)</v>
      </c>
      <c r="B18" t="s">
        <v>43</v>
      </c>
      <c r="C18" t="s">
        <v>133</v>
      </c>
      <c r="F18" s="110">
        <f>IF('Input General'!$F$250=0, F124*100/1000+F$8+F$9, F124*100/1000+F$9)</f>
        <v>8.1852914388878748</v>
      </c>
      <c r="G18" s="110">
        <f>IF('Input General'!G250=0, G124*(1+inflation)*100/1000+G$9+G$8, G124*(1+inflation)*100/1000+G$9)</f>
        <v>8.4011934848204444</v>
      </c>
      <c r="H18" s="110">
        <f>IF('Input General'!H250=0,H124*(1+inflation)^2*100/1000+H$8+H$9,H124*(1+inflation)^2*100/1000+H$9)</f>
        <v>8.5573625202841139</v>
      </c>
    </row>
    <row r="19" spans="1:8" ht="16.5" x14ac:dyDescent="0.3">
      <c r="A19" t="str">
        <f ca="1">A125</f>
        <v>Calc (LRMC Slow Rate)</v>
      </c>
      <c r="B19" t="s">
        <v>43</v>
      </c>
      <c r="C19" t="s">
        <v>133</v>
      </c>
      <c r="F19" s="110">
        <f>IF('Input General'!$F$250=0, F125*100/1000+F$8+F$9, F125*100/1000+F$9)</f>
        <v>7.7702909874651649</v>
      </c>
      <c r="G19" s="110">
        <f>IF('Input General'!G250=0, G125*(1+inflation)*100/1000+G$9+G$8, G125*(1+inflation)*100/1000+G$9)</f>
        <v>8.0979273146592181</v>
      </c>
      <c r="H19" s="110">
        <f>IF('Input General'!H250=0,H125*(1+inflation)^2*100/1000+H$8+H$9,H125*(1+inflation)^2*100/1000+H$9)</f>
        <v>8.5852223060118291</v>
      </c>
    </row>
    <row r="20" spans="1:8" ht="16.5" x14ac:dyDescent="0.3">
      <c r="A20" t="str">
        <f ca="1">A126</f>
        <v>Calc (Market Planning Case)</v>
      </c>
      <c r="B20" t="s">
        <v>43</v>
      </c>
      <c r="C20" t="s">
        <v>133</v>
      </c>
      <c r="F20" s="110">
        <f>IF('Input General'!$F$250=0, F126*100/1000+F$8+F$9, F126*100/1000+F$9)</f>
        <v>6.8483608266159823</v>
      </c>
      <c r="G20" s="110">
        <f>IF('Input General'!G250=0, G126*(1+inflation)*100/1000+G$9+G$8, G126*(1+inflation)*100/1000+G$9)</f>
        <v>6.685903666044454</v>
      </c>
      <c r="H20" s="110">
        <f>IF('Input General'!H250=0,H126*(1+inflation)^2*100/1000+H$8+H$9,H126*(1+inflation)^2*100/1000+H$9)</f>
        <v>6.9540247592425164</v>
      </c>
    </row>
    <row r="21" spans="1:8" ht="16.5" x14ac:dyDescent="0.3">
      <c r="A21" t="str">
        <f ca="1">A127</f>
        <v>Calc (Market Slow Rate)</v>
      </c>
      <c r="B21" t="s">
        <v>43</v>
      </c>
      <c r="C21" t="s">
        <v>133</v>
      </c>
      <c r="F21" s="110">
        <f>IF('Input General'!$F$250=0, F127*100/1000+F$8+F$9, F127*100/1000+F$9)</f>
        <v>6.5383727254337662</v>
      </c>
      <c r="G21" s="110">
        <f>IF('Input General'!G250=0, G127*(1+inflation)*100/1000+G$9+G$8, G127*(1+inflation)*100/1000+G$9)</f>
        <v>6.6500750487629929</v>
      </c>
      <c r="H21" s="110">
        <f>IF('Input General'!H250=0,H127*(1+inflation)^2*100/1000+H$8+H$9,H127*(1+inflation)^2*100/1000+H$9)</f>
        <v>6.5810281935008721</v>
      </c>
    </row>
    <row r="23" spans="1:8" x14ac:dyDescent="0.25">
      <c r="A23" s="38" t="str">
        <f>A129</f>
        <v>Endeavour</v>
      </c>
    </row>
    <row r="24" spans="1:8" ht="16.5" x14ac:dyDescent="0.3">
      <c r="A24" t="str">
        <f ca="1">A130</f>
        <v>Calc (LRMC Planning case)</v>
      </c>
      <c r="B24" t="s">
        <v>43</v>
      </c>
      <c r="C24" t="s">
        <v>133</v>
      </c>
      <c r="F24" s="110">
        <f>IF('Input General'!F261=0, F130*100/1000+F$8+F$9, F130*100/1000+F$9)</f>
        <v>8.6386045413893147</v>
      </c>
      <c r="G24" s="110">
        <f>IF('Input General'!G261=0, G130*(1+inflation)*100/1000+G$9+G$8, G130*(1+inflation)*100/1000+G$9)</f>
        <v>8.8636012349774997</v>
      </c>
      <c r="H24" s="110">
        <f>IF('Input General'!H261=0,H130*(1+inflation)^2*100/1000+H$8+H$9,H130*(1+inflation)^2*100/1000+H$9)</f>
        <v>9.0289809771698213</v>
      </c>
    </row>
    <row r="25" spans="1:8" ht="16.5" x14ac:dyDescent="0.3">
      <c r="A25" t="str">
        <f ca="1">A131</f>
        <v>Calc (LRMC Slow Rate)</v>
      </c>
      <c r="B25" t="s">
        <v>43</v>
      </c>
      <c r="C25" t="s">
        <v>133</v>
      </c>
      <c r="F25" s="110">
        <f>IF('Input General'!F261=0, F131*100/1000+F$8+F$9, F131*100/1000+F$9)</f>
        <v>8.194067647803589</v>
      </c>
      <c r="G25" s="110">
        <f>IF('Input General'!G261=0, G131*(1+inflation)*100/1000+G$9+G$8, G131*(1+inflation)*100/1000+G$9)</f>
        <v>8.5341864115257753</v>
      </c>
      <c r="H25" s="110">
        <f>IF('Input General'!H261=0,H131*(1+inflation)^2*100/1000+H$8+H$9,H131*(1+inflation)^2*100/1000+H$9)</f>
        <v>8.6213455487649764</v>
      </c>
    </row>
    <row r="26" spans="1:8" ht="16.5" x14ac:dyDescent="0.3">
      <c r="A26" t="str">
        <f ca="1">A132</f>
        <v>Calc (Market Planning Case)</v>
      </c>
      <c r="B26" t="s">
        <v>43</v>
      </c>
      <c r="C26" t="s">
        <v>133</v>
      </c>
      <c r="F26" s="110">
        <f>IF('Input General'!F261=0, F132*100/1000+F$8+F$9, F132*100/1000+F$9)</f>
        <v>7.2181235960809031</v>
      </c>
      <c r="G26" s="110">
        <f>IF('Input General'!G261=0, G132*(1+inflation)*100/1000+G$9+G$8, G132*(1+inflation)*100/1000+G$9)</f>
        <v>7.0441390017306595</v>
      </c>
      <c r="H26" s="110">
        <f>IF('Input General'!H261=0,H132*(1+inflation)^2*100/1000+H$8+H$9,H132*(1+inflation)^2*100/1000+H$9)</f>
        <v>7.331985996871409</v>
      </c>
    </row>
    <row r="27" spans="1:8" ht="16.5" x14ac:dyDescent="0.3">
      <c r="A27" t="str">
        <f ca="1">A133</f>
        <v>Calc (Market Slow Rate)</v>
      </c>
      <c r="B27" t="s">
        <v>43</v>
      </c>
      <c r="C27" t="s">
        <v>133</v>
      </c>
      <c r="F27" s="110">
        <f>IF('Input General'!F261=0, F133*100/1000+F$8+F$9, F133*100/1000+F$9)</f>
        <v>6.8960162225183428</v>
      </c>
      <c r="G27" s="110">
        <f>IF('Input General'!G261=0, G133*(1+inflation)*100/1000+G$9+G$8, G133*(1+inflation)*100/1000+G$9)</f>
        <v>7.0016599533853396</v>
      </c>
      <c r="H27" s="110">
        <f>IF('Input General'!H261=0,H133*(1+inflation)^2*100/1000+H$8+H$9,H133*(1+inflation)^2*100/1000+H$9)</f>
        <v>6.9354904766322614</v>
      </c>
    </row>
    <row r="29" spans="1:8" x14ac:dyDescent="0.25">
      <c r="A29" s="8" t="str">
        <f>A135</f>
        <v>Carbon costs</v>
      </c>
    </row>
    <row r="31" spans="1:8" x14ac:dyDescent="0.25">
      <c r="A31" s="38" t="str">
        <f>A136</f>
        <v xml:space="preserve">Ausgrid </v>
      </c>
    </row>
    <row r="32" spans="1:8" ht="16.5" x14ac:dyDescent="0.3">
      <c r="A32" t="str">
        <f ca="1">A137</f>
        <v>Calc (LRMC Planning case)</v>
      </c>
      <c r="B32" t="s">
        <v>43</v>
      </c>
      <c r="C32" t="s">
        <v>133</v>
      </c>
      <c r="F32" s="110">
        <f>F137*100/1000</f>
        <v>1.1010044251764668</v>
      </c>
      <c r="G32" s="110">
        <f>G137*(1+inflation)*100/1000</f>
        <v>1.1551971359884077</v>
      </c>
      <c r="H32" s="110">
        <f>H137*(1+inflation)^2*100/1000</f>
        <v>1.2142689405375071</v>
      </c>
    </row>
    <row r="33" spans="1:8" ht="16.5" x14ac:dyDescent="0.3">
      <c r="A33" t="str">
        <f ca="1">A138</f>
        <v>Calc (LRMC Slow Rate)</v>
      </c>
      <c r="B33" t="s">
        <v>43</v>
      </c>
      <c r="C33" t="s">
        <v>133</v>
      </c>
      <c r="F33" s="110">
        <f t="shared" ref="F33:F35" si="0">F138*100/1000</f>
        <v>1.1055444616716827</v>
      </c>
      <c r="G33" s="110">
        <f>G138*(1+inflation)*100/1000</f>
        <v>1.1630878177875366</v>
      </c>
      <c r="H33" s="110">
        <f>H138*(1+inflation)^2*100/1000</f>
        <v>1.2222275227524468</v>
      </c>
    </row>
    <row r="34" spans="1:8" ht="16.5" x14ac:dyDescent="0.3">
      <c r="A34" t="str">
        <f ca="1">A139</f>
        <v>Calc (Market Planning Case)</v>
      </c>
      <c r="B34" t="s">
        <v>43</v>
      </c>
      <c r="C34" t="s">
        <v>133</v>
      </c>
      <c r="F34" s="110">
        <f t="shared" si="0"/>
        <v>3.0343269053602766</v>
      </c>
      <c r="G34" s="110">
        <f>G139*(1+inflation)*100/1000</f>
        <v>3.395415476578417</v>
      </c>
      <c r="H34" s="110">
        <f>H139*(1+inflation)^2*100/1000</f>
        <v>3.2597269950927235</v>
      </c>
    </row>
    <row r="35" spans="1:8" ht="16.5" x14ac:dyDescent="0.3">
      <c r="A35" t="str">
        <f ca="1">A140</f>
        <v>Calc (Market Slow Rate)</v>
      </c>
      <c r="B35" t="s">
        <v>43</v>
      </c>
      <c r="C35" t="s">
        <v>133</v>
      </c>
      <c r="F35" s="110">
        <f t="shared" si="0"/>
        <v>3.1333692620626556</v>
      </c>
      <c r="G35" s="110">
        <f>G140*(1+inflation)*100/1000</f>
        <v>3.6713425864860127</v>
      </c>
      <c r="H35" s="110">
        <f>H140*(1+inflation)^2*100/1000</f>
        <v>3.4625805180135418</v>
      </c>
    </row>
    <row r="37" spans="1:8" x14ac:dyDescent="0.25">
      <c r="A37" s="38" t="str">
        <f>A142</f>
        <v>Essential</v>
      </c>
    </row>
    <row r="38" spans="1:8" ht="16.5" x14ac:dyDescent="0.3">
      <c r="A38" t="str">
        <f ca="1">A143</f>
        <v>Calc (LRMC Planning case)</v>
      </c>
      <c r="B38" t="s">
        <v>43</v>
      </c>
      <c r="C38" t="s">
        <v>133</v>
      </c>
      <c r="F38" s="110">
        <f>F143*100/1000</f>
        <v>1.0951329157118634</v>
      </c>
      <c r="G38" s="110">
        <f>G143*(1+inflation)*100/1000</f>
        <v>1.1493950908260109</v>
      </c>
      <c r="H38" s="110">
        <f>H143*(1+inflation)^2*100/1000</f>
        <v>1.2696545063440239</v>
      </c>
    </row>
    <row r="39" spans="1:8" ht="16.5" x14ac:dyDescent="0.3">
      <c r="A39" t="str">
        <f ca="1">A144</f>
        <v>Calc (LRMC Slow Rate)</v>
      </c>
      <c r="B39" t="s">
        <v>43</v>
      </c>
      <c r="C39" t="s">
        <v>133</v>
      </c>
      <c r="F39" s="110">
        <f t="shared" ref="F39:F41" si="1">F144*100/1000</f>
        <v>1.0978473488805067</v>
      </c>
      <c r="G39" s="110">
        <f>G144*(1+inflation)*100/1000</f>
        <v>1.1541171932737331</v>
      </c>
      <c r="H39" s="110">
        <f>H144*(1+inflation)^2*100/1000</f>
        <v>1.2132046498354885</v>
      </c>
    </row>
    <row r="40" spans="1:8" ht="16.5" x14ac:dyDescent="0.3">
      <c r="A40" t="str">
        <f ca="1">A145</f>
        <v>Calc (Market Planning Case)</v>
      </c>
      <c r="B40" t="s">
        <v>43</v>
      </c>
      <c r="C40" t="s">
        <v>133</v>
      </c>
      <c r="F40" s="110">
        <f t="shared" si="1"/>
        <v>3.0267438364475376</v>
      </c>
      <c r="G40" s="110">
        <f>G145*(1+inflation)*100/1000</f>
        <v>3.3704605259264482</v>
      </c>
      <c r="H40" s="110">
        <f>H145*(1+inflation)^2*100/1000</f>
        <v>3.2115891658060907</v>
      </c>
    </row>
    <row r="41" spans="1:8" ht="16.5" x14ac:dyDescent="0.3">
      <c r="A41" t="str">
        <f ca="1">A146</f>
        <v>Calc (Market Slow Rate)</v>
      </c>
      <c r="B41" t="s">
        <v>43</v>
      </c>
      <c r="C41" t="s">
        <v>133</v>
      </c>
      <c r="F41" s="110">
        <f t="shared" si="1"/>
        <v>3.1137162546359534</v>
      </c>
      <c r="G41" s="110">
        <f>G146*(1+inflation)*100/1000</f>
        <v>3.6485489681153087</v>
      </c>
      <c r="H41" s="110">
        <f>H146*(1+inflation)^2*100/1000</f>
        <v>3.4242337508125624</v>
      </c>
    </row>
    <row r="43" spans="1:8" x14ac:dyDescent="0.25">
      <c r="A43" s="38" t="str">
        <f>A148</f>
        <v>Endeavour</v>
      </c>
    </row>
    <row r="44" spans="1:8" ht="16.5" x14ac:dyDescent="0.3">
      <c r="A44" t="str">
        <f ca="1">A149</f>
        <v>Calc (LRMC Planning case)</v>
      </c>
      <c r="B44" t="s">
        <v>43</v>
      </c>
      <c r="C44" t="s">
        <v>133</v>
      </c>
      <c r="F44" s="110">
        <f>F149*100/1000</f>
        <v>1.0979794821931705</v>
      </c>
      <c r="G44" s="110">
        <f>G149*(1+inflation)*100/1000</f>
        <v>1.1522311687820666</v>
      </c>
      <c r="H44" s="110">
        <f>H149*(1+inflation)^2*100/1000</f>
        <v>1.2113254442632138</v>
      </c>
    </row>
    <row r="45" spans="1:8" ht="16.5" x14ac:dyDescent="0.3">
      <c r="A45" t="str">
        <f ca="1">A150</f>
        <v>Calc (LRMC Slow Rate)</v>
      </c>
      <c r="B45" t="s">
        <v>43</v>
      </c>
      <c r="C45" t="s">
        <v>133</v>
      </c>
      <c r="F45" s="110">
        <f t="shared" ref="F45:F47" si="2">F150*100/1000</f>
        <v>1.1018035636516388</v>
      </c>
      <c r="G45" s="110">
        <f>G150*(1+inflation)*100/1000</f>
        <v>1.1878134385412924</v>
      </c>
      <c r="H45" s="110">
        <f>H150*(1+inflation)^2*100/1000</f>
        <v>1.2179191181109832</v>
      </c>
    </row>
    <row r="46" spans="1:8" ht="16.5" x14ac:dyDescent="0.3">
      <c r="A46" t="str">
        <f ca="1">A151</f>
        <v>Calc (Market Planning Case)</v>
      </c>
      <c r="B46" t="s">
        <v>43</v>
      </c>
      <c r="C46" t="s">
        <v>133</v>
      </c>
      <c r="F46" s="110">
        <f t="shared" si="2"/>
        <v>3.1888179367672898</v>
      </c>
      <c r="G46" s="110">
        <f>G151*(1+inflation)*100/1000</f>
        <v>3.5478221781698793</v>
      </c>
      <c r="H46" s="110">
        <f>H151*(1+inflation)^2*100/1000</f>
        <v>3.3764357620516243</v>
      </c>
    </row>
    <row r="47" spans="1:8" ht="16.5" x14ac:dyDescent="0.3">
      <c r="A47" t="str">
        <f ca="1">A152</f>
        <v>Calc (Market Slow Rate)</v>
      </c>
      <c r="B47" t="s">
        <v>43</v>
      </c>
      <c r="C47" t="s">
        <v>133</v>
      </c>
      <c r="F47" s="110">
        <f t="shared" si="2"/>
        <v>3.2746005187984069</v>
      </c>
      <c r="G47" s="110">
        <f>G152*(1+inflation)*100/1000</f>
        <v>3.834540948341258</v>
      </c>
      <c r="H47" s="110">
        <f>H152*(1+inflation)^2*100/1000</f>
        <v>3.6028032061804871</v>
      </c>
    </row>
    <row r="49" spans="1:8" x14ac:dyDescent="0.25">
      <c r="A49" s="8" t="str">
        <f t="shared" ref="A49:A54" si="3">A154</f>
        <v>LRET</v>
      </c>
    </row>
    <row r="50" spans="1:8" x14ac:dyDescent="0.25">
      <c r="A50" s="38" t="str">
        <f t="shared" si="3"/>
        <v xml:space="preserve">Ausgrid </v>
      </c>
    </row>
    <row r="51" spans="1:8" ht="16.5" x14ac:dyDescent="0.3">
      <c r="A51" t="str">
        <f t="shared" ca="1" si="3"/>
        <v>Calc (LRMC Planning case)</v>
      </c>
      <c r="B51" t="s">
        <v>43</v>
      </c>
      <c r="C51" t="s">
        <v>133</v>
      </c>
      <c r="F51" s="110">
        <f>F156*100/1000</f>
        <v>0.39819840053447941</v>
      </c>
      <c r="G51" s="110">
        <f>G156*(1+inflation)*100/1000</f>
        <v>0.42669209997064583</v>
      </c>
      <c r="H51" s="110">
        <f>H156*(1+inflation)^2*100/1000</f>
        <v>0.45184839968009982</v>
      </c>
    </row>
    <row r="52" spans="1:8" ht="16.5" x14ac:dyDescent="0.3">
      <c r="A52" t="str">
        <f t="shared" ca="1" si="3"/>
        <v>Calc (LRMC Slow Rate)</v>
      </c>
      <c r="B52" t="s">
        <v>43</v>
      </c>
      <c r="C52" t="s">
        <v>133</v>
      </c>
      <c r="F52" s="110">
        <f t="shared" ref="F52:F54" si="4">F157*100/1000</f>
        <v>0.69707800390735408</v>
      </c>
      <c r="G52" s="110">
        <f>G157*(1+inflation)*100/1000</f>
        <v>0.74695851975879313</v>
      </c>
      <c r="H52" s="110">
        <f>H157*(1+inflation)^2*100/1000</f>
        <v>0.79099650751268424</v>
      </c>
    </row>
    <row r="53" spans="1:8" ht="16.5" x14ac:dyDescent="0.3">
      <c r="A53" t="str">
        <f t="shared" ca="1" si="3"/>
        <v>Calc (Market Planning Case)</v>
      </c>
      <c r="B53" t="s">
        <v>43</v>
      </c>
      <c r="C53" t="s">
        <v>133</v>
      </c>
      <c r="F53" s="110">
        <f t="shared" si="4"/>
        <v>0.39819840053447941</v>
      </c>
      <c r="G53" s="110">
        <f>G158*(1+inflation)*100/1000</f>
        <v>0.42669209997064583</v>
      </c>
      <c r="H53" s="110">
        <f>H158*(1+inflation)^2*100/1000</f>
        <v>0.45184839968009982</v>
      </c>
    </row>
    <row r="54" spans="1:8" ht="16.5" x14ac:dyDescent="0.3">
      <c r="A54" t="str">
        <f t="shared" ca="1" si="3"/>
        <v>Calc (Market Slow Rate)</v>
      </c>
      <c r="B54" t="s">
        <v>43</v>
      </c>
      <c r="C54" t="s">
        <v>133</v>
      </c>
      <c r="F54" s="110">
        <f t="shared" si="4"/>
        <v>0.69707800390735408</v>
      </c>
      <c r="G54" s="110">
        <f>G159*(1+inflation)*100/1000</f>
        <v>0.74695851975879313</v>
      </c>
      <c r="H54" s="110">
        <f>H159*(1+inflation)^2*100/1000</f>
        <v>0.79099650751268424</v>
      </c>
    </row>
    <row r="56" spans="1:8" x14ac:dyDescent="0.25">
      <c r="A56" s="38" t="str">
        <f>A161</f>
        <v>Essential</v>
      </c>
    </row>
    <row r="57" spans="1:8" ht="16.5" x14ac:dyDescent="0.3">
      <c r="A57" t="str">
        <f ca="1">A162</f>
        <v>Calc (LRMC Planning case)</v>
      </c>
      <c r="B57" t="s">
        <v>43</v>
      </c>
      <c r="C57" t="s">
        <v>133</v>
      </c>
      <c r="F57" s="110">
        <f>F162*100/1000</f>
        <v>0.40077183686405499</v>
      </c>
      <c r="G57" s="110">
        <f>G162*(1+inflation)*100/1000</f>
        <v>0.42944968249768117</v>
      </c>
      <c r="H57" s="110">
        <f>H162*(1+inflation)^2*100/1000</f>
        <v>0.4547685597953503</v>
      </c>
    </row>
    <row r="58" spans="1:8" ht="16.5" x14ac:dyDescent="0.3">
      <c r="A58" t="str">
        <f ca="1">A163</f>
        <v>Calc (LRMC Slow Rate)</v>
      </c>
      <c r="B58" t="s">
        <v>43</v>
      </c>
      <c r="C58" t="s">
        <v>133</v>
      </c>
      <c r="F58" s="110">
        <f t="shared" ref="F58:F60" si="5">F163*100/1000</f>
        <v>0.70158300909420401</v>
      </c>
      <c r="G58" s="110">
        <f>G163*(1+inflation)*100/1000</f>
        <v>0.75178588769611565</v>
      </c>
      <c r="H58" s="110">
        <f>H163*(1+inflation)^2*100/1000</f>
        <v>0.79610847970109155</v>
      </c>
    </row>
    <row r="59" spans="1:8" ht="16.5" x14ac:dyDescent="0.3">
      <c r="A59" t="str">
        <f ca="1">A164</f>
        <v>Calc (Market Planning Case)</v>
      </c>
      <c r="B59" t="s">
        <v>43</v>
      </c>
      <c r="C59" t="s">
        <v>133</v>
      </c>
      <c r="F59" s="110">
        <f t="shared" si="5"/>
        <v>0.40077183686405499</v>
      </c>
      <c r="G59" s="110">
        <f>G164*(1+inflation)*100/1000</f>
        <v>0.42944968249768117</v>
      </c>
      <c r="H59" s="110">
        <f>H164*(1+inflation)^2*100/1000</f>
        <v>0.4547685597953503</v>
      </c>
    </row>
    <row r="60" spans="1:8" ht="16.5" x14ac:dyDescent="0.3">
      <c r="A60" t="str">
        <f ca="1">A165</f>
        <v>Calc (Market Slow Rate)</v>
      </c>
      <c r="B60" t="s">
        <v>43</v>
      </c>
      <c r="C60" t="s">
        <v>133</v>
      </c>
      <c r="F60" s="110">
        <f t="shared" si="5"/>
        <v>0.70158300909420401</v>
      </c>
      <c r="G60" s="110">
        <f>G165*(1+inflation)*100/1000</f>
        <v>0.75178588769611565</v>
      </c>
      <c r="H60" s="110">
        <f>H165*(1+inflation)^2*100/1000</f>
        <v>0.79610847970109155</v>
      </c>
    </row>
    <row r="62" spans="1:8" x14ac:dyDescent="0.25">
      <c r="A62" s="38" t="str">
        <f>A167</f>
        <v>Endeavour</v>
      </c>
    </row>
    <row r="63" spans="1:8" ht="16.5" x14ac:dyDescent="0.3">
      <c r="A63" t="str">
        <f ca="1">A168</f>
        <v>Calc (LRMC Planning case)</v>
      </c>
      <c r="B63" t="s">
        <v>43</v>
      </c>
      <c r="C63" t="s">
        <v>133</v>
      </c>
      <c r="F63" s="110">
        <f>F168*100/1000</f>
        <v>0.40276773109409697</v>
      </c>
      <c r="G63" s="110">
        <f>G168*(1+inflation)*100/1000</f>
        <v>0.43158839601132876</v>
      </c>
      <c r="H63" s="110">
        <f>H168*(1+inflation)^2*100/1000</f>
        <v>0.45703336450718429</v>
      </c>
    </row>
    <row r="64" spans="1:8" ht="16.5" x14ac:dyDescent="0.3">
      <c r="A64" t="str">
        <f ca="1">A169</f>
        <v>Calc (LRMC Slow Rate)</v>
      </c>
      <c r="B64" t="s">
        <v>43</v>
      </c>
      <c r="C64" t="s">
        <v>133</v>
      </c>
      <c r="F64" s="110">
        <f t="shared" ref="F64:F66" si="6">F169*100/1000</f>
        <v>0.70507698085305703</v>
      </c>
      <c r="G64" s="110">
        <f>G169*(1+inflation)*100/1000</f>
        <v>0.75552987611411593</v>
      </c>
      <c r="H64" s="110">
        <f>H169*(1+inflation)^2*100/1000</f>
        <v>0.80007320021028716</v>
      </c>
    </row>
    <row r="65" spans="1:8" ht="16.5" x14ac:dyDescent="0.3">
      <c r="A65" t="str">
        <f ca="1">A170</f>
        <v>Calc (Market Planning Case)</v>
      </c>
      <c r="B65" t="s">
        <v>43</v>
      </c>
      <c r="C65" t="s">
        <v>133</v>
      </c>
      <c r="F65" s="110">
        <f t="shared" si="6"/>
        <v>0.40276773109409697</v>
      </c>
      <c r="G65" s="110">
        <f>G170*(1+inflation)*100/1000</f>
        <v>0.43158839601132876</v>
      </c>
      <c r="H65" s="110">
        <f>H170*(1+inflation)^2*100/1000</f>
        <v>0.45703336450718429</v>
      </c>
    </row>
    <row r="66" spans="1:8" ht="16.5" x14ac:dyDescent="0.3">
      <c r="A66" t="str">
        <f ca="1">A171</f>
        <v>Calc (Market Slow Rate)</v>
      </c>
      <c r="B66" t="s">
        <v>43</v>
      </c>
      <c r="C66" t="s">
        <v>133</v>
      </c>
      <c r="F66" s="110">
        <f t="shared" si="6"/>
        <v>0.70507698085305703</v>
      </c>
      <c r="G66" s="110">
        <f>G171*(1+inflation)*100/1000</f>
        <v>0.75552987611411593</v>
      </c>
      <c r="H66" s="110">
        <f>H171*(1+inflation)^2*100/1000</f>
        <v>0.80007320021028716</v>
      </c>
    </row>
    <row r="68" spans="1:8" x14ac:dyDescent="0.25">
      <c r="A68" s="8" t="str">
        <f t="shared" ref="A68:A71" si="7">A173</f>
        <v>SRES</v>
      </c>
    </row>
    <row r="69" spans="1:8" ht="16.5" x14ac:dyDescent="0.3">
      <c r="A69" t="str">
        <f t="shared" si="7"/>
        <v xml:space="preserve">Ausgrid </v>
      </c>
      <c r="B69" t="s">
        <v>43</v>
      </c>
      <c r="C69" t="s">
        <v>133</v>
      </c>
      <c r="F69" s="110">
        <f>F174*100/1000</f>
        <v>0.63165039703546855</v>
      </c>
      <c r="G69" s="110">
        <f>G174*(1+inflation)*100/1000</f>
        <v>0.27800537850714663</v>
      </c>
      <c r="H69" s="110">
        <f>H174*(1+inflation)^2*100/1000</f>
        <v>0.24157162519851783</v>
      </c>
    </row>
    <row r="70" spans="1:8" ht="16.5" x14ac:dyDescent="0.3">
      <c r="A70" t="str">
        <f t="shared" si="7"/>
        <v>Essential</v>
      </c>
      <c r="B70" t="s">
        <v>43</v>
      </c>
      <c r="C70" t="s">
        <v>133</v>
      </c>
      <c r="F70" s="110">
        <f>F175*100/1000</f>
        <v>0.63573256330519767</v>
      </c>
      <c r="G70" s="110">
        <f>G175*(1+inflation)*100/1000</f>
        <v>0.27980204353620608</v>
      </c>
      <c r="H70" s="110">
        <f>H175*(1+inflation)^2*100/1000</f>
        <v>0.24313282985339854</v>
      </c>
    </row>
    <row r="71" spans="1:8" ht="16.5" x14ac:dyDescent="0.3">
      <c r="A71" t="str">
        <f t="shared" si="7"/>
        <v>Endeavour</v>
      </c>
      <c r="B71" t="s">
        <v>43</v>
      </c>
      <c r="C71" t="s">
        <v>133</v>
      </c>
      <c r="F71" s="110">
        <f t="shared" ref="F71" si="8">F176*100/1000</f>
        <v>0.63889859154929585</v>
      </c>
      <c r="G71" s="110">
        <f>G176*(1+inflation)*100/1000</f>
        <v>0.28119549295774648</v>
      </c>
      <c r="H71" s="110">
        <f>H176*(1+inflation)^2*100/1000</f>
        <v>0.24434366197183102</v>
      </c>
    </row>
    <row r="72" spans="1:8" hidden="1" x14ac:dyDescent="0.25"/>
    <row r="73" spans="1:8" hidden="1" x14ac:dyDescent="0.25">
      <c r="A73" s="8" t="str">
        <f t="shared" ref="A73:A78" si="9">A178</f>
        <v>Energy savings</v>
      </c>
    </row>
    <row r="74" spans="1:8" hidden="1" x14ac:dyDescent="0.25">
      <c r="A74" s="38" t="str">
        <f t="shared" si="9"/>
        <v xml:space="preserve">Ausgrid </v>
      </c>
    </row>
    <row r="75" spans="1:8" ht="16.5" hidden="1" x14ac:dyDescent="0.3">
      <c r="A75" t="str">
        <f t="shared" ca="1" si="9"/>
        <v>Calc (LRMC Planning case)</v>
      </c>
      <c r="B75" t="s">
        <v>43</v>
      </c>
      <c r="C75" t="s">
        <v>133</v>
      </c>
      <c r="F75" s="110">
        <f t="shared" ref="F75:F78" si="10">F180*100/1000</f>
        <v>0</v>
      </c>
      <c r="G75" s="110">
        <f>G180*(1+inflation)*100/1000</f>
        <v>0</v>
      </c>
      <c r="H75" s="110">
        <f>H180*(1+inflation)^2*100/1000</f>
        <v>0</v>
      </c>
    </row>
    <row r="76" spans="1:8" ht="16.5" hidden="1" x14ac:dyDescent="0.3">
      <c r="A76" t="str">
        <f t="shared" ca="1" si="9"/>
        <v>Calc (LRMC Slow Rate)</v>
      </c>
      <c r="B76" t="s">
        <v>43</v>
      </c>
      <c r="C76" t="s">
        <v>133</v>
      </c>
      <c r="F76" s="110">
        <f t="shared" si="10"/>
        <v>0</v>
      </c>
      <c r="G76" s="110">
        <f>G181*(1+inflation)*100/1000</f>
        <v>0</v>
      </c>
      <c r="H76" s="110">
        <f>H181*(1+inflation)^2*100/1000</f>
        <v>0</v>
      </c>
    </row>
    <row r="77" spans="1:8" ht="16.5" hidden="1" x14ac:dyDescent="0.3">
      <c r="A77" t="str">
        <f t="shared" ca="1" si="9"/>
        <v>Calc (Market Planning Case)</v>
      </c>
      <c r="B77" t="s">
        <v>43</v>
      </c>
      <c r="C77" t="s">
        <v>133</v>
      </c>
      <c r="F77" s="110">
        <f t="shared" si="10"/>
        <v>0</v>
      </c>
      <c r="G77" s="110">
        <f>G182*(1+inflation)*100/1000</f>
        <v>0</v>
      </c>
      <c r="H77" s="110">
        <f>H182*(1+inflation)^2*100/1000</f>
        <v>0</v>
      </c>
    </row>
    <row r="78" spans="1:8" ht="16.5" hidden="1" x14ac:dyDescent="0.3">
      <c r="A78" t="str">
        <f t="shared" ca="1" si="9"/>
        <v>Calc (Market Slow Rate)</v>
      </c>
      <c r="B78" t="s">
        <v>43</v>
      </c>
      <c r="C78" t="s">
        <v>133</v>
      </c>
      <c r="F78" s="110">
        <f t="shared" si="10"/>
        <v>0</v>
      </c>
      <c r="G78" s="110">
        <f>G183*(1+inflation)*100/1000</f>
        <v>0</v>
      </c>
      <c r="H78" s="110">
        <f>H183*(1+inflation)^2*100/1000</f>
        <v>0</v>
      </c>
    </row>
    <row r="79" spans="1:8" hidden="1" x14ac:dyDescent="0.25"/>
    <row r="80" spans="1:8" hidden="1" x14ac:dyDescent="0.25">
      <c r="A80" s="38" t="str">
        <f>A185</f>
        <v>Essential</v>
      </c>
    </row>
    <row r="81" spans="1:8" ht="16.5" hidden="1" x14ac:dyDescent="0.3">
      <c r="A81" t="str">
        <f ca="1">A186</f>
        <v>Calc (LRMC Planning case)</v>
      </c>
      <c r="B81" t="s">
        <v>43</v>
      </c>
      <c r="C81" t="s">
        <v>133</v>
      </c>
      <c r="F81" s="110">
        <f t="shared" ref="F81:F84" si="11">F186*100/1000</f>
        <v>0</v>
      </c>
      <c r="G81" s="110">
        <f>G186*(1+inflation)*100/1000</f>
        <v>0</v>
      </c>
      <c r="H81" s="110">
        <f>H186*(1+inflation)^2*100/1000</f>
        <v>0</v>
      </c>
    </row>
    <row r="82" spans="1:8" ht="16.5" hidden="1" x14ac:dyDescent="0.3">
      <c r="A82" t="str">
        <f ca="1">A187</f>
        <v>Calc (LRMC Slow Rate)</v>
      </c>
      <c r="B82" t="s">
        <v>43</v>
      </c>
      <c r="C82" t="s">
        <v>133</v>
      </c>
      <c r="F82" s="110">
        <f t="shared" si="11"/>
        <v>0</v>
      </c>
      <c r="G82" s="110">
        <f>G187*(1+inflation)*100/1000</f>
        <v>0</v>
      </c>
      <c r="H82" s="110">
        <f>H187*(1+inflation)^2*100/1000</f>
        <v>0</v>
      </c>
    </row>
    <row r="83" spans="1:8" ht="16.5" hidden="1" x14ac:dyDescent="0.3">
      <c r="A83" t="str">
        <f ca="1">A188</f>
        <v>Calc (Market Planning Case)</v>
      </c>
      <c r="B83" t="s">
        <v>43</v>
      </c>
      <c r="C83" t="s">
        <v>133</v>
      </c>
      <c r="F83" s="110">
        <f t="shared" si="11"/>
        <v>0</v>
      </c>
      <c r="G83" s="110">
        <f>G188*(1+inflation)*100/1000</f>
        <v>0</v>
      </c>
      <c r="H83" s="110">
        <f>H188*(1+inflation)^2*100/1000</f>
        <v>0</v>
      </c>
    </row>
    <row r="84" spans="1:8" ht="16.5" hidden="1" x14ac:dyDescent="0.3">
      <c r="A84" t="str">
        <f ca="1">A189</f>
        <v>Calc (Market Slow Rate)</v>
      </c>
      <c r="B84" t="s">
        <v>43</v>
      </c>
      <c r="C84" t="s">
        <v>133</v>
      </c>
      <c r="F84" s="110">
        <f t="shared" si="11"/>
        <v>0</v>
      </c>
      <c r="G84" s="110">
        <f>G189*(1+inflation)*100/1000</f>
        <v>0</v>
      </c>
      <c r="H84" s="110">
        <f>H189*(1+inflation)^2*100/1000</f>
        <v>0</v>
      </c>
    </row>
    <row r="85" spans="1:8" hidden="1" x14ac:dyDescent="0.25"/>
    <row r="86" spans="1:8" hidden="1" x14ac:dyDescent="0.25">
      <c r="A86" s="38" t="str">
        <f>A191</f>
        <v>Endeavour</v>
      </c>
    </row>
    <row r="87" spans="1:8" ht="16.5" hidden="1" x14ac:dyDescent="0.3">
      <c r="A87" t="str">
        <f ca="1">A192</f>
        <v>Calc (LRMC Planning case)</v>
      </c>
      <c r="B87" t="s">
        <v>43</v>
      </c>
      <c r="C87" t="s">
        <v>133</v>
      </c>
      <c r="F87" s="110">
        <f t="shared" ref="F87:F90" si="12">F192*100/1000</f>
        <v>0</v>
      </c>
      <c r="G87" s="110">
        <f>G192*(1+inflation)*100/1000</f>
        <v>0</v>
      </c>
      <c r="H87" s="110">
        <f>H192*(1+inflation)^2*100/1000</f>
        <v>0</v>
      </c>
    </row>
    <row r="88" spans="1:8" ht="16.5" hidden="1" x14ac:dyDescent="0.3">
      <c r="A88" t="str">
        <f ca="1">A193</f>
        <v>Calc (LRMC Slow Rate)</v>
      </c>
      <c r="B88" t="s">
        <v>43</v>
      </c>
      <c r="C88" t="s">
        <v>133</v>
      </c>
      <c r="F88" s="110">
        <f t="shared" si="12"/>
        <v>0</v>
      </c>
      <c r="G88" s="110">
        <f>G193*(1+inflation)*100/1000</f>
        <v>0</v>
      </c>
      <c r="H88" s="110">
        <f>H193*(1+inflation)^2*100/1000</f>
        <v>0</v>
      </c>
    </row>
    <row r="89" spans="1:8" ht="16.5" hidden="1" x14ac:dyDescent="0.3">
      <c r="A89" t="str">
        <f ca="1">A194</f>
        <v>Calc (Market Planning Case)</v>
      </c>
      <c r="B89" t="s">
        <v>43</v>
      </c>
      <c r="C89" t="s">
        <v>133</v>
      </c>
      <c r="F89" s="110">
        <f t="shared" si="12"/>
        <v>0</v>
      </c>
      <c r="G89" s="110">
        <f>G194*(1+inflation)*100/1000</f>
        <v>0</v>
      </c>
      <c r="H89" s="110">
        <f>H194*(1+inflation)^2*100/1000</f>
        <v>0</v>
      </c>
    </row>
    <row r="90" spans="1:8" ht="16.5" hidden="1" x14ac:dyDescent="0.3">
      <c r="A90" t="str">
        <f ca="1">A195</f>
        <v>Calc (Market Slow Rate)</v>
      </c>
      <c r="B90" t="s">
        <v>43</v>
      </c>
      <c r="C90" t="s">
        <v>133</v>
      </c>
      <c r="F90" s="110">
        <f t="shared" si="12"/>
        <v>0</v>
      </c>
      <c r="G90" s="110">
        <f>G195*(1+inflation)*100/1000</f>
        <v>0</v>
      </c>
      <c r="H90" s="110">
        <f>H195*(1+inflation)^2*100/1000</f>
        <v>0</v>
      </c>
    </row>
    <row r="91" spans="1:8" hidden="1" x14ac:dyDescent="0.25"/>
    <row r="92" spans="1:8" hidden="1" x14ac:dyDescent="0.25">
      <c r="A92" s="8" t="str">
        <f t="shared" ref="A92:A97" si="13">A197</f>
        <v>Blank</v>
      </c>
    </row>
    <row r="93" spans="1:8" hidden="1" x14ac:dyDescent="0.25">
      <c r="A93" s="38" t="str">
        <f t="shared" si="13"/>
        <v xml:space="preserve">Ausgrid </v>
      </c>
    </row>
    <row r="94" spans="1:8" ht="16.5" hidden="1" x14ac:dyDescent="0.3">
      <c r="A94" t="str">
        <f t="shared" ca="1" si="13"/>
        <v>Calc (LRMC Planning case)</v>
      </c>
      <c r="B94" t="s">
        <v>43</v>
      </c>
      <c r="C94" t="s">
        <v>133</v>
      </c>
      <c r="F94" s="110">
        <f>IF($A$92="blank",0,F199*100/1000)</f>
        <v>0</v>
      </c>
      <c r="G94" s="110">
        <f t="shared" ref="G94:H94" si="14">IF($A$92="blank",0,G199*100/1000)</f>
        <v>0</v>
      </c>
      <c r="H94" s="110">
        <f t="shared" si="14"/>
        <v>0</v>
      </c>
    </row>
    <row r="95" spans="1:8" ht="16.5" hidden="1" x14ac:dyDescent="0.3">
      <c r="A95" t="str">
        <f t="shared" ca="1" si="13"/>
        <v>Calc (LRMC Slow Rate)</v>
      </c>
      <c r="B95" t="s">
        <v>43</v>
      </c>
      <c r="C95" t="s">
        <v>133</v>
      </c>
      <c r="F95" s="110">
        <f>IF($A92="blank",0,F200*100/1000)</f>
        <v>0</v>
      </c>
      <c r="G95" s="110">
        <f>IF($A92="blank",0,G200*100/1000)</f>
        <v>0</v>
      </c>
      <c r="H95" s="110">
        <f>IF($A92="blank",0,H200*100/1000)</f>
        <v>0</v>
      </c>
    </row>
    <row r="96" spans="1:8" ht="16.5" hidden="1" x14ac:dyDescent="0.3">
      <c r="A96" t="str">
        <f t="shared" ca="1" si="13"/>
        <v>Calc (Market Planning Case)</v>
      </c>
      <c r="B96" t="s">
        <v>43</v>
      </c>
      <c r="C96" t="s">
        <v>133</v>
      </c>
      <c r="F96" s="110">
        <f>IF($A92="blank",0,F201*100/1000)</f>
        <v>0</v>
      </c>
      <c r="G96" s="110">
        <f>IF($A92="blank",0,G201*100/1000)</f>
        <v>0</v>
      </c>
      <c r="H96" s="110">
        <f>IF($A92="blank",0,H201*100/1000)</f>
        <v>0</v>
      </c>
    </row>
    <row r="97" spans="1:9" ht="16.5" hidden="1" x14ac:dyDescent="0.3">
      <c r="A97" t="str">
        <f t="shared" ca="1" si="13"/>
        <v>Calc (Market Slow Rate)</v>
      </c>
      <c r="B97" t="s">
        <v>43</v>
      </c>
      <c r="C97" t="s">
        <v>133</v>
      </c>
      <c r="F97" s="110">
        <f>IF($A92="blank",0,F202*100/1000)</f>
        <v>0</v>
      </c>
      <c r="G97" s="110">
        <f>IF($A92="blank",0,G202*100/1000)</f>
        <v>0</v>
      </c>
      <c r="H97" s="110">
        <f>IF($A92="blank",0,H202*100/1000)</f>
        <v>0</v>
      </c>
    </row>
    <row r="98" spans="1:9" hidden="1" x14ac:dyDescent="0.25"/>
    <row r="99" spans="1:9" hidden="1" x14ac:dyDescent="0.25">
      <c r="A99" s="38" t="str">
        <f>A204</f>
        <v>Essential</v>
      </c>
    </row>
    <row r="100" spans="1:9" ht="16.5" hidden="1" x14ac:dyDescent="0.3">
      <c r="A100" t="str">
        <f ca="1">A205</f>
        <v>Calc (LRMC Planning case)</v>
      </c>
      <c r="B100" t="s">
        <v>43</v>
      </c>
      <c r="C100" t="s">
        <v>133</v>
      </c>
      <c r="F100" s="110">
        <f>IF($A$92="blank",0,F205*100/1000)</f>
        <v>0</v>
      </c>
      <c r="G100" s="110">
        <f t="shared" ref="G100:H100" si="15">IF($A$92="blank",0,G205*100/1000)</f>
        <v>0</v>
      </c>
      <c r="H100" s="110">
        <f t="shared" si="15"/>
        <v>0</v>
      </c>
    </row>
    <row r="101" spans="1:9" ht="16.5" hidden="1" x14ac:dyDescent="0.3">
      <c r="A101" t="str">
        <f ca="1">A206</f>
        <v>Calc (LRMC Slow Rate)</v>
      </c>
      <c r="B101" t="s">
        <v>43</v>
      </c>
      <c r="C101" t="s">
        <v>133</v>
      </c>
      <c r="F101" s="110">
        <f t="shared" ref="F101:H103" si="16">IF($A$92="blank",0,F206*100/1000)</f>
        <v>0</v>
      </c>
      <c r="G101" s="110">
        <f t="shared" si="16"/>
        <v>0</v>
      </c>
      <c r="H101" s="110">
        <f t="shared" si="16"/>
        <v>0</v>
      </c>
    </row>
    <row r="102" spans="1:9" ht="16.5" hidden="1" x14ac:dyDescent="0.3">
      <c r="A102" t="str">
        <f ca="1">A207</f>
        <v>Calc (Market Planning Case)</v>
      </c>
      <c r="B102" t="s">
        <v>43</v>
      </c>
      <c r="C102" t="s">
        <v>133</v>
      </c>
      <c r="F102" s="110">
        <f t="shared" si="16"/>
        <v>0</v>
      </c>
      <c r="G102" s="110">
        <f t="shared" si="16"/>
        <v>0</v>
      </c>
      <c r="H102" s="110">
        <f t="shared" si="16"/>
        <v>0</v>
      </c>
    </row>
    <row r="103" spans="1:9" ht="16.5" hidden="1" x14ac:dyDescent="0.3">
      <c r="A103" t="str">
        <f ca="1">A208</f>
        <v>Calc (Market Slow Rate)</v>
      </c>
      <c r="B103" t="s">
        <v>43</v>
      </c>
      <c r="C103" t="s">
        <v>133</v>
      </c>
      <c r="F103" s="110">
        <f t="shared" si="16"/>
        <v>0</v>
      </c>
      <c r="G103" s="110">
        <f t="shared" si="16"/>
        <v>0</v>
      </c>
      <c r="H103" s="110">
        <f t="shared" si="16"/>
        <v>0</v>
      </c>
    </row>
    <row r="104" spans="1:9" hidden="1" x14ac:dyDescent="0.25"/>
    <row r="105" spans="1:9" hidden="1" x14ac:dyDescent="0.25">
      <c r="A105" s="38" t="str">
        <f>A210</f>
        <v>Endeavour</v>
      </c>
    </row>
    <row r="106" spans="1:9" ht="16.5" hidden="1" x14ac:dyDescent="0.3">
      <c r="A106" t="str">
        <f ca="1">A211</f>
        <v>Calc (LRMC Planning case)</v>
      </c>
      <c r="B106" t="s">
        <v>43</v>
      </c>
      <c r="C106" t="s">
        <v>133</v>
      </c>
      <c r="F106" s="110">
        <f>IF($A$92="blank",0,F211*100/1000)</f>
        <v>0</v>
      </c>
      <c r="G106" s="110">
        <f t="shared" ref="G106:H106" si="17">IF($A$92="blank",0,G211*100/1000)</f>
        <v>0</v>
      </c>
      <c r="H106" s="110">
        <f t="shared" si="17"/>
        <v>0</v>
      </c>
    </row>
    <row r="107" spans="1:9" ht="16.5" hidden="1" x14ac:dyDescent="0.3">
      <c r="A107" t="str">
        <f ca="1">A212</f>
        <v>Calc (LRMC Slow Rate)</v>
      </c>
      <c r="B107" t="s">
        <v>43</v>
      </c>
      <c r="C107" t="s">
        <v>133</v>
      </c>
      <c r="F107" s="110">
        <f t="shared" ref="F107:H109" si="18">IF($A$92="blank",0,F212*100/1000)</f>
        <v>0</v>
      </c>
      <c r="G107" s="110">
        <f t="shared" si="18"/>
        <v>0</v>
      </c>
      <c r="H107" s="110">
        <f t="shared" si="18"/>
        <v>0</v>
      </c>
    </row>
    <row r="108" spans="1:9" ht="16.5" hidden="1" x14ac:dyDescent="0.3">
      <c r="A108" t="str">
        <f ca="1">A213</f>
        <v>Calc (Market Planning Case)</v>
      </c>
      <c r="B108" t="s">
        <v>43</v>
      </c>
      <c r="C108" t="s">
        <v>133</v>
      </c>
      <c r="F108" s="110">
        <f t="shared" si="18"/>
        <v>0</v>
      </c>
      <c r="G108" s="110">
        <f t="shared" si="18"/>
        <v>0</v>
      </c>
      <c r="H108" s="110">
        <f t="shared" si="18"/>
        <v>0</v>
      </c>
    </row>
    <row r="109" spans="1:9" ht="16.5" hidden="1" x14ac:dyDescent="0.3">
      <c r="A109" t="str">
        <f ca="1">A214</f>
        <v>Calc (Market Slow Rate)</v>
      </c>
      <c r="B109" t="s">
        <v>43</v>
      </c>
      <c r="C109" t="s">
        <v>133</v>
      </c>
      <c r="F109" s="110">
        <f t="shared" si="18"/>
        <v>0</v>
      </c>
      <c r="G109" s="110">
        <f t="shared" si="18"/>
        <v>0</v>
      </c>
      <c r="H109" s="110">
        <f t="shared" si="18"/>
        <v>0</v>
      </c>
    </row>
    <row r="111" spans="1:9" s="37" customFormat="1" ht="18.75" x14ac:dyDescent="0.3">
      <c r="A111" s="36" t="s">
        <v>130</v>
      </c>
    </row>
    <row r="112" spans="1:9" ht="16.5" x14ac:dyDescent="0.3">
      <c r="B112" s="112"/>
      <c r="C112" s="112"/>
      <c r="D112" s="112"/>
      <c r="E112" s="112"/>
      <c r="F112" s="112"/>
      <c r="G112" s="112"/>
      <c r="H112" s="112"/>
      <c r="I112" s="104"/>
    </row>
    <row r="113" spans="1:9" ht="16.5" x14ac:dyDescent="0.3">
      <c r="A113" s="21" t="s">
        <v>80</v>
      </c>
      <c r="B113" s="112"/>
      <c r="C113" s="112"/>
      <c r="D113" s="112"/>
      <c r="E113" s="112"/>
      <c r="F113" s="112"/>
      <c r="G113" s="112"/>
      <c r="H113" s="112"/>
      <c r="I113" s="104"/>
    </row>
    <row r="114" spans="1:9" ht="16.5" x14ac:dyDescent="0.3">
      <c r="A114" s="112" t="s">
        <v>118</v>
      </c>
      <c r="B114" s="151" t="s">
        <v>143</v>
      </c>
      <c r="C114" s="112" t="s">
        <v>73</v>
      </c>
      <c r="D114" s="112"/>
      <c r="E114" s="112"/>
      <c r="F114" s="135">
        <v>0.39600000000000002</v>
      </c>
      <c r="G114" s="135">
        <v>0.39512195121951227</v>
      </c>
      <c r="H114" s="135">
        <v>0.39262343842950626</v>
      </c>
      <c r="I114" s="42"/>
    </row>
    <row r="115" spans="1:9" ht="16.5" x14ac:dyDescent="0.3">
      <c r="A115" s="112" t="s">
        <v>119</v>
      </c>
      <c r="B115" s="151" t="s">
        <v>143</v>
      </c>
      <c r="C115" s="112" t="s">
        <v>73</v>
      </c>
      <c r="D115" s="112"/>
      <c r="E115" s="112"/>
      <c r="F115" s="135">
        <v>0.70517370134505641</v>
      </c>
      <c r="G115" s="135">
        <v>0.70517370134505641</v>
      </c>
      <c r="H115" s="135">
        <v>0.70517370134505641</v>
      </c>
      <c r="I115" s="104"/>
    </row>
    <row r="116" spans="1:9" ht="16.5" x14ac:dyDescent="0.3">
      <c r="A116" s="104"/>
      <c r="B116" s="104"/>
      <c r="C116" s="104"/>
      <c r="D116" s="104"/>
      <c r="E116" s="104"/>
      <c r="F116" s="52"/>
      <c r="G116" s="104"/>
      <c r="H116" s="104"/>
      <c r="I116" s="104"/>
    </row>
    <row r="117" spans="1:9" ht="16.5" x14ac:dyDescent="0.3">
      <c r="A117" s="113" t="str">
        <f>Dist1</f>
        <v xml:space="preserve">Ausgrid </v>
      </c>
      <c r="B117" s="112"/>
      <c r="C117" s="112"/>
      <c r="D117" s="112"/>
      <c r="E117" s="112"/>
      <c r="F117" s="114"/>
      <c r="G117" s="112"/>
      <c r="H117" s="112"/>
      <c r="I117" s="104"/>
    </row>
    <row r="118" spans="1:9" ht="16.5" x14ac:dyDescent="0.3">
      <c r="A118" s="104" t="str">
        <f ca="1">'Calc (LRMC Planning case)'!$B$2</f>
        <v>Calc (LRMC Planning case)</v>
      </c>
      <c r="B118" s="135" t="s">
        <v>143</v>
      </c>
      <c r="C118" s="112" t="s">
        <v>73</v>
      </c>
      <c r="D118" s="112"/>
      <c r="E118" s="112"/>
      <c r="F118" s="135">
        <v>85.963243241554437</v>
      </c>
      <c r="G118" s="135">
        <v>85.641613656078576</v>
      </c>
      <c r="H118" s="135">
        <v>85.093993296429829</v>
      </c>
      <c r="I118" s="104"/>
    </row>
    <row r="119" spans="1:9" ht="16.5" x14ac:dyDescent="0.3">
      <c r="A119" s="104" t="str">
        <f ca="1">'Calc (LRMC Slow Rate)'!$B$2</f>
        <v>Calc (LRMC Slow Rate)</v>
      </c>
      <c r="B119" s="135" t="s">
        <v>143</v>
      </c>
      <c r="C119" s="112" t="s">
        <v>73</v>
      </c>
      <c r="D119" s="112"/>
      <c r="E119" s="112"/>
      <c r="F119" s="135">
        <v>81.565537296265816</v>
      </c>
      <c r="G119" s="135">
        <v>82.518898789052557</v>
      </c>
      <c r="H119" s="135">
        <v>81.297343650964777</v>
      </c>
      <c r="I119" s="104"/>
    </row>
    <row r="120" spans="1:9" ht="16.5" x14ac:dyDescent="0.3">
      <c r="A120" s="104" t="str">
        <f ca="1">'Calc (Market Planning Case)'!$B$2</f>
        <v>Calc (Market Planning Case)</v>
      </c>
      <c r="B120" s="135" t="s">
        <v>143</v>
      </c>
      <c r="C120" s="112" t="s">
        <v>73</v>
      </c>
      <c r="D120" s="112"/>
      <c r="E120" s="112"/>
      <c r="F120" s="135">
        <v>67.850290670530626</v>
      </c>
      <c r="G120" s="135">
        <v>64.430445722980281</v>
      </c>
      <c r="H120" s="135">
        <v>65.374145639904341</v>
      </c>
      <c r="I120" s="104"/>
    </row>
    <row r="121" spans="1:9" ht="16.5" x14ac:dyDescent="0.3">
      <c r="A121" s="104" t="str">
        <f ca="1">'Calc (Market Slow Rate)'!$B$2</f>
        <v>Calc (Market Slow Rate)</v>
      </c>
      <c r="B121" s="135" t="s">
        <v>143</v>
      </c>
      <c r="C121" s="112" t="s">
        <v>73</v>
      </c>
      <c r="D121" s="112"/>
      <c r="E121" s="112"/>
      <c r="F121" s="135">
        <v>64.83785716161421</v>
      </c>
      <c r="G121" s="135">
        <v>65.753754974200874</v>
      </c>
      <c r="H121" s="135">
        <v>61.97136863594654</v>
      </c>
      <c r="I121" s="104"/>
    </row>
    <row r="122" spans="1:9" ht="16.5" x14ac:dyDescent="0.3">
      <c r="A122" s="112"/>
      <c r="B122" s="104"/>
      <c r="C122" s="104"/>
      <c r="D122" s="104"/>
      <c r="E122" s="104"/>
      <c r="F122" s="115"/>
      <c r="G122" s="116"/>
      <c r="H122" s="116"/>
      <c r="I122" s="104"/>
    </row>
    <row r="123" spans="1:9" ht="16.5" x14ac:dyDescent="0.3">
      <c r="A123" s="54" t="str">
        <f>Dist2</f>
        <v>Essential</v>
      </c>
      <c r="B123" s="104"/>
      <c r="C123" s="104"/>
      <c r="D123" s="104"/>
      <c r="E123" s="104"/>
      <c r="F123" s="52"/>
      <c r="G123" s="104"/>
      <c r="H123" s="104"/>
      <c r="I123" s="104"/>
    </row>
    <row r="124" spans="1:9" ht="16.5" x14ac:dyDescent="0.3">
      <c r="A124" s="104" t="str">
        <f ca="1">'Calc (LRMC Planning case)'!$B$2</f>
        <v>Calc (LRMC Planning case)</v>
      </c>
      <c r="B124" s="135" t="s">
        <v>143</v>
      </c>
      <c r="C124" s="112" t="s">
        <v>73</v>
      </c>
      <c r="D124" s="112"/>
      <c r="E124" s="112"/>
      <c r="F124" s="135">
        <v>81.147740687533698</v>
      </c>
      <c r="G124" s="135">
        <v>80.862567613976353</v>
      </c>
      <c r="H124" s="135">
        <v>80.352411262691746</v>
      </c>
      <c r="I124" s="104"/>
    </row>
    <row r="125" spans="1:9" ht="16.5" x14ac:dyDescent="0.3">
      <c r="A125" s="104" t="str">
        <f ca="1">'Calc (LRMC Slow Rate)'!$B$2</f>
        <v>Calc (LRMC Slow Rate)</v>
      </c>
      <c r="B125" s="135" t="s">
        <v>143</v>
      </c>
      <c r="C125" s="112" t="s">
        <v>73</v>
      </c>
      <c r="D125" s="112"/>
      <c r="E125" s="112"/>
      <c r="F125" s="135">
        <v>76.997736173306592</v>
      </c>
      <c r="G125" s="135">
        <v>77.903873270939997</v>
      </c>
      <c r="H125" s="135">
        <v>80.617584713996578</v>
      </c>
      <c r="I125" s="104"/>
    </row>
    <row r="126" spans="1:9" ht="16.5" x14ac:dyDescent="0.3">
      <c r="A126" s="104" t="str">
        <f ca="1">'Calc (Market Planning Case)'!$B$2</f>
        <v>Calc (Market Planning Case)</v>
      </c>
      <c r="B126" s="135" t="s">
        <v>143</v>
      </c>
      <c r="C126" s="112" t="s">
        <v>73</v>
      </c>
      <c r="D126" s="112"/>
      <c r="E126" s="112"/>
      <c r="F126" s="135">
        <v>67.778434564814759</v>
      </c>
      <c r="G126" s="135">
        <v>64.12803279664962</v>
      </c>
      <c r="H126" s="135">
        <v>65.091611633503419</v>
      </c>
      <c r="I126" s="104"/>
    </row>
    <row r="127" spans="1:9" ht="16.5" x14ac:dyDescent="0.3">
      <c r="A127" s="104" t="str">
        <f ca="1">'Calc (Market Slow Rate)'!$B$2</f>
        <v>Calc (Market Slow Rate)</v>
      </c>
      <c r="B127" s="135" t="s">
        <v>143</v>
      </c>
      <c r="C127" s="112" t="s">
        <v>73</v>
      </c>
      <c r="D127" s="112"/>
      <c r="E127" s="112"/>
      <c r="F127" s="135">
        <v>64.678553552992611</v>
      </c>
      <c r="G127" s="135">
        <v>63.778485310976841</v>
      </c>
      <c r="H127" s="135">
        <v>61.541376623469922</v>
      </c>
      <c r="I127" s="104"/>
    </row>
    <row r="128" spans="1:9" ht="16.5" x14ac:dyDescent="0.3">
      <c r="A128" s="117"/>
      <c r="B128" s="112"/>
      <c r="C128" s="112"/>
      <c r="D128" s="112"/>
      <c r="E128" s="104"/>
      <c r="F128" s="52"/>
      <c r="G128" s="104"/>
      <c r="H128" s="104"/>
      <c r="I128" s="104"/>
    </row>
    <row r="129" spans="1:9" ht="16.5" x14ac:dyDescent="0.3">
      <c r="A129" s="113" t="str">
        <f>Dist3</f>
        <v>Endeavour</v>
      </c>
      <c r="B129" s="112"/>
      <c r="C129" s="112"/>
      <c r="D129" s="112"/>
      <c r="E129" s="112"/>
      <c r="F129" s="52"/>
      <c r="G129" s="112"/>
      <c r="H129" s="112"/>
      <c r="I129" s="104"/>
    </row>
    <row r="130" spans="1:9" ht="16.5" x14ac:dyDescent="0.3">
      <c r="A130" s="104" t="str">
        <f ca="1">'Calc (LRMC Planning case)'!$B$2</f>
        <v>Calc (LRMC Planning case)</v>
      </c>
      <c r="B130" s="135" t="s">
        <v>143</v>
      </c>
      <c r="C130" s="112" t="s">
        <v>73</v>
      </c>
      <c r="D130" s="112"/>
      <c r="E130" s="112"/>
      <c r="F130" s="135">
        <v>85.680871712548111</v>
      </c>
      <c r="G130" s="135">
        <v>85.373862737459817</v>
      </c>
      <c r="H130" s="135">
        <v>84.841343630431965</v>
      </c>
      <c r="I130" s="104"/>
    </row>
    <row r="131" spans="1:9" ht="16.5" x14ac:dyDescent="0.3">
      <c r="A131" s="104" t="str">
        <f ca="1">'Calc (LRMC Slow Rate)'!$B$2</f>
        <v>Calc (LRMC Slow Rate)</v>
      </c>
      <c r="B131" s="135" t="s">
        <v>143</v>
      </c>
      <c r="C131" s="112" t="s">
        <v>73</v>
      </c>
      <c r="D131" s="112"/>
      <c r="E131" s="112"/>
      <c r="F131" s="135">
        <v>81.235502776690851</v>
      </c>
      <c r="G131" s="135">
        <v>82.160059581833252</v>
      </c>
      <c r="H131" s="135">
        <v>80.961410938892698</v>
      </c>
      <c r="I131" s="104"/>
    </row>
    <row r="132" spans="1:9" ht="16.5" x14ac:dyDescent="0.3">
      <c r="A132" s="104" t="str">
        <f ca="1">'Calc (Market Planning Case)'!$B$2</f>
        <v>Calc (Market Planning Case)</v>
      </c>
      <c r="B132" s="135" t="s">
        <v>143</v>
      </c>
      <c r="C132" s="112" t="s">
        <v>73</v>
      </c>
      <c r="D132" s="112"/>
      <c r="E132" s="112"/>
      <c r="F132" s="135">
        <v>71.476062259463973</v>
      </c>
      <c r="G132" s="135">
        <v>67.623011681393095</v>
      </c>
      <c r="H132" s="135">
        <v>68.68910110528347</v>
      </c>
      <c r="I132" s="104"/>
    </row>
    <row r="133" spans="1:9" ht="16.5" x14ac:dyDescent="0.3">
      <c r="A133" s="104" t="str">
        <f ca="1">'Calc (Market Slow Rate)'!$B$2</f>
        <v>Calc (Market Slow Rate)</v>
      </c>
      <c r="B133" s="135" t="s">
        <v>143</v>
      </c>
      <c r="C133" s="112" t="s">
        <v>73</v>
      </c>
      <c r="D133" s="112"/>
      <c r="E133" s="112"/>
      <c r="F133" s="135">
        <v>68.254988523838364</v>
      </c>
      <c r="G133" s="135">
        <v>67.208581941438766</v>
      </c>
      <c r="H133" s="135">
        <v>64.915199663387952</v>
      </c>
      <c r="I133" s="104"/>
    </row>
    <row r="134" spans="1:9" ht="16.5" x14ac:dyDescent="0.3">
      <c r="A134" s="112"/>
      <c r="B134" s="112"/>
      <c r="C134" s="112"/>
      <c r="D134" s="112"/>
      <c r="E134" s="112"/>
      <c r="F134" s="52"/>
      <c r="G134" s="116"/>
      <c r="H134" s="116"/>
      <c r="I134" s="104"/>
    </row>
    <row r="135" spans="1:9" ht="16.5" x14ac:dyDescent="0.3">
      <c r="A135" s="109" t="s">
        <v>99</v>
      </c>
      <c r="B135" s="112"/>
      <c r="C135" s="112"/>
      <c r="D135" s="112"/>
      <c r="E135" s="112"/>
      <c r="F135" s="52"/>
      <c r="G135" s="116"/>
      <c r="H135" s="116"/>
      <c r="I135" s="104"/>
    </row>
    <row r="136" spans="1:9" ht="16.5" x14ac:dyDescent="0.3">
      <c r="A136" s="113" t="str">
        <f>Dist1</f>
        <v xml:space="preserve">Ausgrid </v>
      </c>
      <c r="B136" s="112"/>
      <c r="C136" s="112"/>
      <c r="D136" s="112"/>
      <c r="E136" s="112"/>
      <c r="F136" s="114"/>
      <c r="G136" s="112"/>
      <c r="H136" s="112"/>
      <c r="I136" s="104"/>
    </row>
    <row r="137" spans="1:9" ht="16.5" x14ac:dyDescent="0.3">
      <c r="A137" s="104" t="str">
        <f ca="1">'Calc (LRMC Planning case)'!$B$2</f>
        <v>Calc (LRMC Planning case)</v>
      </c>
      <c r="B137" s="135" t="s">
        <v>143</v>
      </c>
      <c r="C137" s="112" t="s">
        <v>73</v>
      </c>
      <c r="D137" s="112"/>
      <c r="E137" s="112"/>
      <c r="F137" s="135">
        <v>11.010044251764668</v>
      </c>
      <c r="G137" s="135">
        <v>11.270215960862515</v>
      </c>
      <c r="H137" s="135">
        <v>11.557586584533084</v>
      </c>
      <c r="I137" s="104"/>
    </row>
    <row r="138" spans="1:9" ht="16.5" x14ac:dyDescent="0.3">
      <c r="A138" s="104" t="str">
        <f ca="1">'Calc (LRMC Slow Rate)'!$B$2</f>
        <v>Calc (LRMC Slow Rate)</v>
      </c>
      <c r="B138" s="135" t="s">
        <v>143</v>
      </c>
      <c r="C138" s="112" t="s">
        <v>73</v>
      </c>
      <c r="D138" s="112"/>
      <c r="E138" s="112"/>
      <c r="F138" s="135">
        <v>11.055444616716827</v>
      </c>
      <c r="G138" s="135">
        <v>11.347198222317431</v>
      </c>
      <c r="H138" s="135">
        <v>11.633337515787716</v>
      </c>
      <c r="I138" s="104"/>
    </row>
    <row r="139" spans="1:9" ht="16.5" x14ac:dyDescent="0.3">
      <c r="A139" s="104" t="str">
        <f ca="1">'Calc (Market Planning Case)'!$B$2</f>
        <v>Calc (Market Planning Case)</v>
      </c>
      <c r="B139" s="135" t="s">
        <v>143</v>
      </c>
      <c r="C139" s="112" t="s">
        <v>73</v>
      </c>
      <c r="D139" s="112"/>
      <c r="E139" s="112"/>
      <c r="F139" s="135">
        <v>30.343269053602768</v>
      </c>
      <c r="G139" s="135">
        <v>33.126004649545536</v>
      </c>
      <c r="H139" s="135">
        <v>31.026550815873634</v>
      </c>
      <c r="I139" s="104"/>
    </row>
    <row r="140" spans="1:9" ht="16.5" x14ac:dyDescent="0.3">
      <c r="A140" s="104" t="str">
        <f ca="1">'Calc (Market Slow Rate)'!$B$2</f>
        <v>Calc (Market Slow Rate)</v>
      </c>
      <c r="B140" s="135" t="s">
        <v>143</v>
      </c>
      <c r="C140" s="112" t="s">
        <v>73</v>
      </c>
      <c r="D140" s="112"/>
      <c r="E140" s="112"/>
      <c r="F140" s="135">
        <v>31.333692620626557</v>
      </c>
      <c r="G140" s="135">
        <v>35.817976453522078</v>
      </c>
      <c r="H140" s="135">
        <v>32.957339850218126</v>
      </c>
      <c r="I140" s="104"/>
    </row>
    <row r="141" spans="1:9" ht="16.5" x14ac:dyDescent="0.3">
      <c r="A141" s="112"/>
      <c r="B141" s="104"/>
      <c r="C141" s="104"/>
      <c r="D141" s="104"/>
      <c r="E141" s="104"/>
      <c r="F141" s="115"/>
      <c r="G141" s="116"/>
      <c r="H141" s="116"/>
      <c r="I141" s="104"/>
    </row>
    <row r="142" spans="1:9" ht="16.5" x14ac:dyDescent="0.3">
      <c r="A142" s="54" t="str">
        <f>Dist2</f>
        <v>Essential</v>
      </c>
      <c r="B142" s="104"/>
      <c r="C142" s="104"/>
      <c r="D142" s="104"/>
      <c r="E142" s="104"/>
      <c r="F142" s="52"/>
      <c r="G142" s="104"/>
      <c r="H142" s="104"/>
      <c r="I142" s="104"/>
    </row>
    <row r="143" spans="1:9" ht="16.5" x14ac:dyDescent="0.3">
      <c r="A143" s="104" t="str">
        <f ca="1">'Calc (LRMC Planning case)'!$B$2</f>
        <v>Calc (LRMC Planning case)</v>
      </c>
      <c r="B143" s="135" t="s">
        <v>143</v>
      </c>
      <c r="C143" s="112" t="s">
        <v>73</v>
      </c>
      <c r="D143" s="112"/>
      <c r="E143" s="112"/>
      <c r="F143" s="135">
        <v>10.951329157118636</v>
      </c>
      <c r="G143" s="135">
        <v>11.213610642204983</v>
      </c>
      <c r="H143" s="135">
        <v>12.084754373292318</v>
      </c>
      <c r="I143" s="104"/>
    </row>
    <row r="144" spans="1:9" ht="16.5" x14ac:dyDescent="0.3">
      <c r="A144" s="104" t="str">
        <f ca="1">'Calc (LRMC Slow Rate)'!$B$2</f>
        <v>Calc (LRMC Slow Rate)</v>
      </c>
      <c r="B144" s="135" t="s">
        <v>143</v>
      </c>
      <c r="C144" s="112" t="s">
        <v>73</v>
      </c>
      <c r="D144" s="112"/>
      <c r="E144" s="112"/>
      <c r="F144" s="135">
        <v>10.978473488805065</v>
      </c>
      <c r="G144" s="135">
        <v>11.259679934377886</v>
      </c>
      <c r="H144" s="135">
        <v>11.54745651241393</v>
      </c>
      <c r="I144" s="104"/>
    </row>
    <row r="145" spans="1:9" ht="16.5" x14ac:dyDescent="0.3">
      <c r="A145" s="104" t="str">
        <f ca="1">'Calc (Market Planning Case)'!$B$2</f>
        <v>Calc (Market Planning Case)</v>
      </c>
      <c r="B145" s="135" t="s">
        <v>143</v>
      </c>
      <c r="C145" s="112" t="s">
        <v>73</v>
      </c>
      <c r="D145" s="112"/>
      <c r="E145" s="112"/>
      <c r="F145" s="135">
        <v>30.267438364475375</v>
      </c>
      <c r="G145" s="135">
        <v>32.882541716355597</v>
      </c>
      <c r="H145" s="135">
        <v>30.568368026708775</v>
      </c>
      <c r="I145" s="104"/>
    </row>
    <row r="146" spans="1:9" ht="16.5" x14ac:dyDescent="0.3">
      <c r="A146" s="104" t="str">
        <f ca="1">'Calc (Market Slow Rate)'!$B$2</f>
        <v>Calc (Market Slow Rate)</v>
      </c>
      <c r="B146" s="135" t="s">
        <v>143</v>
      </c>
      <c r="C146" s="112" t="s">
        <v>73</v>
      </c>
      <c r="D146" s="112"/>
      <c r="E146" s="112"/>
      <c r="F146" s="135">
        <v>31.137162546359534</v>
      </c>
      <c r="G146" s="135">
        <v>35.595599688929838</v>
      </c>
      <c r="H146" s="135">
        <v>32.59234979952469</v>
      </c>
      <c r="I146" s="104"/>
    </row>
    <row r="147" spans="1:9" ht="16.5" x14ac:dyDescent="0.3">
      <c r="A147" s="117"/>
      <c r="B147" s="112"/>
      <c r="C147" s="112"/>
      <c r="D147" s="112"/>
      <c r="E147" s="104"/>
      <c r="F147" s="52"/>
      <c r="G147" s="104"/>
      <c r="H147" s="104"/>
      <c r="I147" s="104"/>
    </row>
    <row r="148" spans="1:9" ht="16.5" x14ac:dyDescent="0.3">
      <c r="A148" s="113" t="str">
        <f>Dist3</f>
        <v>Endeavour</v>
      </c>
      <c r="B148" s="112"/>
      <c r="C148" s="112"/>
      <c r="D148" s="112"/>
      <c r="E148" s="112"/>
      <c r="F148" s="52"/>
      <c r="G148" s="112"/>
      <c r="H148" s="112"/>
      <c r="I148" s="104"/>
    </row>
    <row r="149" spans="1:9" ht="16.5" x14ac:dyDescent="0.3">
      <c r="A149" s="104" t="str">
        <f ca="1">'Calc (LRMC Planning case)'!$B$2</f>
        <v>Calc (LRMC Planning case)</v>
      </c>
      <c r="B149" s="135" t="s">
        <v>143</v>
      </c>
      <c r="C149" s="112" t="s">
        <v>73</v>
      </c>
      <c r="D149" s="112"/>
      <c r="E149" s="112"/>
      <c r="F149" s="135">
        <v>10.979794821931705</v>
      </c>
      <c r="G149" s="135">
        <v>11.241279695434798</v>
      </c>
      <c r="H149" s="135">
        <v>11.529569963242963</v>
      </c>
      <c r="I149" s="104"/>
    </row>
    <row r="150" spans="1:9" ht="16.5" x14ac:dyDescent="0.3">
      <c r="A150" s="104" t="str">
        <f ca="1">'Calc (LRMC Slow Rate)'!$B$2</f>
        <v>Calc (LRMC Slow Rate)</v>
      </c>
      <c r="B150" s="135" t="s">
        <v>143</v>
      </c>
      <c r="C150" s="112" t="s">
        <v>73</v>
      </c>
      <c r="D150" s="112"/>
      <c r="E150" s="112"/>
      <c r="F150" s="135">
        <v>11.018035636516387</v>
      </c>
      <c r="G150" s="135">
        <v>11.588423790646758</v>
      </c>
      <c r="H150" s="135">
        <v>11.592329500164027</v>
      </c>
      <c r="I150" s="104"/>
    </row>
    <row r="151" spans="1:9" ht="16.5" x14ac:dyDescent="0.3">
      <c r="A151" s="104" t="str">
        <f ca="1">'Calc (Market Planning Case)'!$B$2</f>
        <v>Calc (Market Planning Case)</v>
      </c>
      <c r="B151" s="135" t="s">
        <v>143</v>
      </c>
      <c r="C151" s="112" t="s">
        <v>73</v>
      </c>
      <c r="D151" s="112"/>
      <c r="E151" s="112"/>
      <c r="F151" s="135">
        <v>31.888179367672898</v>
      </c>
      <c r="G151" s="135">
        <v>34.612899299218334</v>
      </c>
      <c r="H151" s="135">
        <v>32.137401661407495</v>
      </c>
      <c r="I151" s="104"/>
    </row>
    <row r="152" spans="1:9" ht="16.5" x14ac:dyDescent="0.3">
      <c r="A152" s="104" t="str">
        <f ca="1">'Calc (Market Slow Rate)'!$B$2</f>
        <v>Calc (Market Slow Rate)</v>
      </c>
      <c r="B152" s="135" t="s">
        <v>143</v>
      </c>
      <c r="C152" s="112" t="s">
        <v>73</v>
      </c>
      <c r="D152" s="112"/>
      <c r="E152" s="112"/>
      <c r="F152" s="135">
        <v>32.746005187984068</v>
      </c>
      <c r="G152" s="135">
        <v>37.410155593573251</v>
      </c>
      <c r="H152" s="135">
        <v>34.291999582919573</v>
      </c>
      <c r="I152" s="104"/>
    </row>
    <row r="153" spans="1:9" ht="16.5" x14ac:dyDescent="0.3">
      <c r="A153" s="104"/>
      <c r="B153" s="112"/>
      <c r="C153" s="112"/>
      <c r="D153" s="112"/>
      <c r="E153" s="112"/>
      <c r="F153" s="55"/>
      <c r="G153" s="55"/>
      <c r="H153" s="55"/>
      <c r="I153" s="55"/>
    </row>
    <row r="154" spans="1:9" ht="16.5" x14ac:dyDescent="0.3">
      <c r="A154" s="46" t="s">
        <v>22</v>
      </c>
      <c r="B154" s="112"/>
      <c r="C154" s="112"/>
      <c r="D154" s="112"/>
      <c r="E154" s="112"/>
      <c r="F154" s="55"/>
      <c r="G154" s="55"/>
      <c r="H154" s="55"/>
      <c r="I154" s="104"/>
    </row>
    <row r="155" spans="1:9" ht="16.5" x14ac:dyDescent="0.3">
      <c r="A155" s="113" t="str">
        <f>Dist1</f>
        <v xml:space="preserve">Ausgrid </v>
      </c>
      <c r="B155" s="112"/>
      <c r="C155" s="112"/>
      <c r="D155" s="112"/>
      <c r="E155" s="112"/>
      <c r="F155" s="116"/>
      <c r="G155" s="116"/>
      <c r="H155" s="116"/>
      <c r="I155" s="104"/>
    </row>
    <row r="156" spans="1:9" ht="16.5" x14ac:dyDescent="0.3">
      <c r="A156" s="104" t="str">
        <f ca="1">'Calc (LRMC Planning case)'!$B$2</f>
        <v>Calc (LRMC Planning case)</v>
      </c>
      <c r="B156" s="135" t="s">
        <v>143</v>
      </c>
      <c r="C156" s="112" t="s">
        <v>73</v>
      </c>
      <c r="D156" s="112"/>
      <c r="E156" s="112"/>
      <c r="F156" s="135">
        <v>3.9819840053447937</v>
      </c>
      <c r="G156" s="135">
        <v>4.1628497558111786</v>
      </c>
      <c r="H156" s="135">
        <v>4.3007581171217115</v>
      </c>
      <c r="I156" s="104"/>
    </row>
    <row r="157" spans="1:9" ht="16.5" x14ac:dyDescent="0.3">
      <c r="A157" s="104" t="str">
        <f ca="1">'Calc (LRMC Slow Rate)'!$B$2</f>
        <v>Calc (LRMC Slow Rate)</v>
      </c>
      <c r="B157" s="135" t="s">
        <v>143</v>
      </c>
      <c r="C157" s="112" t="s">
        <v>73</v>
      </c>
      <c r="D157" s="112"/>
      <c r="E157" s="112"/>
      <c r="F157" s="135">
        <v>6.9707800390735404</v>
      </c>
      <c r="G157" s="135">
        <v>7.2874001927687138</v>
      </c>
      <c r="H157" s="135">
        <v>7.5288186318875363</v>
      </c>
      <c r="I157" s="104"/>
    </row>
    <row r="158" spans="1:9" ht="16.5" x14ac:dyDescent="0.3">
      <c r="A158" s="104" t="str">
        <f ca="1">'Calc (Market Planning Case)'!$B$2</f>
        <v>Calc (Market Planning Case)</v>
      </c>
      <c r="B158" s="105" t="s">
        <v>43</v>
      </c>
      <c r="C158" s="112" t="s">
        <v>73</v>
      </c>
      <c r="D158" s="112"/>
      <c r="E158" s="112"/>
      <c r="F158" s="118">
        <f>F156</f>
        <v>3.9819840053447937</v>
      </c>
      <c r="G158" s="118">
        <f>G156</f>
        <v>4.1628497558111786</v>
      </c>
      <c r="H158" s="118">
        <f t="shared" ref="G158:H159" si="19">H156</f>
        <v>4.3007581171217115</v>
      </c>
      <c r="I158" s="104"/>
    </row>
    <row r="159" spans="1:9" ht="16.5" x14ac:dyDescent="0.3">
      <c r="A159" s="104" t="str">
        <f ca="1">'Calc (Market Slow Rate)'!$B$2</f>
        <v>Calc (Market Slow Rate)</v>
      </c>
      <c r="B159" s="105" t="s">
        <v>43</v>
      </c>
      <c r="C159" s="112" t="s">
        <v>73</v>
      </c>
      <c r="D159" s="112"/>
      <c r="E159" s="112"/>
      <c r="F159" s="118">
        <f t="shared" ref="F159" si="20">F157</f>
        <v>6.9707800390735404</v>
      </c>
      <c r="G159" s="118">
        <f t="shared" si="19"/>
        <v>7.2874001927687138</v>
      </c>
      <c r="H159" s="118">
        <f t="shared" si="19"/>
        <v>7.5288186318875363</v>
      </c>
      <c r="I159" s="104"/>
    </row>
    <row r="160" spans="1:9" ht="16.5" x14ac:dyDescent="0.3">
      <c r="A160" s="104"/>
      <c r="B160" s="112"/>
      <c r="C160" s="112"/>
      <c r="D160" s="112"/>
      <c r="E160" s="112"/>
      <c r="F160" s="112"/>
      <c r="G160" s="112"/>
      <c r="H160" s="112"/>
      <c r="I160" s="104"/>
    </row>
    <row r="161" spans="1:9" ht="16.5" x14ac:dyDescent="0.3">
      <c r="A161" s="113" t="str">
        <f>Dist2</f>
        <v>Essential</v>
      </c>
      <c r="B161" s="112"/>
      <c r="C161" s="112"/>
      <c r="D161" s="112"/>
      <c r="E161" s="112"/>
      <c r="F161" s="116"/>
      <c r="G161" s="116"/>
      <c r="H161" s="116"/>
      <c r="I161" s="104"/>
    </row>
    <row r="162" spans="1:9" ht="16.5" x14ac:dyDescent="0.3">
      <c r="A162" s="104" t="str">
        <f ca="1">'Calc (LRMC Planning case)'!$B$2</f>
        <v>Calc (LRMC Planning case)</v>
      </c>
      <c r="B162" s="135" t="s">
        <v>143</v>
      </c>
      <c r="C162" s="112" t="s">
        <v>73</v>
      </c>
      <c r="D162" s="112"/>
      <c r="E162" s="112"/>
      <c r="F162" s="105">
        <v>4.0077183686405498</v>
      </c>
      <c r="G162" s="105">
        <v>4.1897529999773777</v>
      </c>
      <c r="H162" s="105">
        <v>4.3285526214905445</v>
      </c>
      <c r="I162" s="104"/>
    </row>
    <row r="163" spans="1:9" ht="16.5" x14ac:dyDescent="0.3">
      <c r="A163" s="104" t="str">
        <f ca="1">'Calc (LRMC Slow Rate)'!$B$2</f>
        <v>Calc (LRMC Slow Rate)</v>
      </c>
      <c r="B163" s="135" t="s">
        <v>143</v>
      </c>
      <c r="C163" s="112" t="s">
        <v>73</v>
      </c>
      <c r="D163" s="112"/>
      <c r="E163" s="112"/>
      <c r="F163" s="105">
        <v>7.0158300909420408</v>
      </c>
      <c r="G163" s="105">
        <v>7.3344964653279581</v>
      </c>
      <c r="H163" s="105">
        <v>7.5774751191061664</v>
      </c>
      <c r="I163" s="104"/>
    </row>
    <row r="164" spans="1:9" ht="16.5" x14ac:dyDescent="0.3">
      <c r="A164" s="104" t="str">
        <f ca="1">'Calc (Market Planning Case)'!$B$2</f>
        <v>Calc (Market Planning Case)</v>
      </c>
      <c r="B164" s="105" t="s">
        <v>43</v>
      </c>
      <c r="C164" s="112" t="s">
        <v>73</v>
      </c>
      <c r="D164" s="112"/>
      <c r="E164" s="112"/>
      <c r="F164" s="118">
        <f t="shared" ref="F164:H165" si="21">F162</f>
        <v>4.0077183686405498</v>
      </c>
      <c r="G164" s="118">
        <f t="shared" si="21"/>
        <v>4.1897529999773777</v>
      </c>
      <c r="H164" s="118">
        <f t="shared" si="21"/>
        <v>4.3285526214905445</v>
      </c>
      <c r="I164" s="104"/>
    </row>
    <row r="165" spans="1:9" ht="16.5" x14ac:dyDescent="0.3">
      <c r="A165" s="104" t="str">
        <f ca="1">'Calc (Market Slow Rate)'!$B$2</f>
        <v>Calc (Market Slow Rate)</v>
      </c>
      <c r="B165" s="105" t="s">
        <v>43</v>
      </c>
      <c r="C165" s="112" t="s">
        <v>73</v>
      </c>
      <c r="D165" s="112"/>
      <c r="E165" s="112"/>
      <c r="F165" s="118">
        <f t="shared" si="21"/>
        <v>7.0158300909420408</v>
      </c>
      <c r="G165" s="118">
        <f t="shared" si="21"/>
        <v>7.3344964653279581</v>
      </c>
      <c r="H165" s="118">
        <f t="shared" si="21"/>
        <v>7.5774751191061664</v>
      </c>
      <c r="I165" s="104"/>
    </row>
    <row r="166" spans="1:9" ht="16.5" x14ac:dyDescent="0.3">
      <c r="A166" s="104"/>
      <c r="B166" s="112"/>
      <c r="C166" s="112"/>
      <c r="D166" s="112"/>
      <c r="E166" s="112"/>
      <c r="F166" s="116"/>
      <c r="G166" s="56"/>
      <c r="H166" s="56"/>
      <c r="I166" s="104"/>
    </row>
    <row r="167" spans="1:9" ht="16.5" x14ac:dyDescent="0.3">
      <c r="A167" s="113" t="str">
        <f>Dist3</f>
        <v>Endeavour</v>
      </c>
      <c r="B167" s="112"/>
      <c r="C167" s="112"/>
      <c r="D167" s="112"/>
      <c r="E167" s="112"/>
      <c r="F167" s="116"/>
      <c r="G167" s="116"/>
      <c r="H167" s="116"/>
      <c r="I167" s="104"/>
    </row>
    <row r="168" spans="1:9" ht="16.5" x14ac:dyDescent="0.3">
      <c r="A168" s="104" t="str">
        <f ca="1">'Calc (LRMC Planning case)'!$B$2</f>
        <v>Calc (LRMC Planning case)</v>
      </c>
      <c r="B168" s="135" t="s">
        <v>143</v>
      </c>
      <c r="C168" s="112" t="s">
        <v>73</v>
      </c>
      <c r="D168" s="112"/>
      <c r="E168" s="112"/>
      <c r="F168" s="135">
        <v>4.0276773109409696</v>
      </c>
      <c r="G168" s="135">
        <v>4.2106184976715006</v>
      </c>
      <c r="H168" s="135">
        <v>4.3501093587834321</v>
      </c>
      <c r="I168" s="104"/>
    </row>
    <row r="169" spans="1:9" ht="16.5" x14ac:dyDescent="0.3">
      <c r="A169" s="104" t="str">
        <f ca="1">'Calc (LRMC Slow Rate)'!$B$2</f>
        <v>Calc (LRMC Slow Rate)</v>
      </c>
      <c r="B169" s="135" t="s">
        <v>143</v>
      </c>
      <c r="C169" s="112" t="s">
        <v>73</v>
      </c>
      <c r="D169" s="112"/>
      <c r="E169" s="112"/>
      <c r="F169" s="135">
        <v>7.0507698085305703</v>
      </c>
      <c r="G169" s="135">
        <v>7.3710231816011316</v>
      </c>
      <c r="H169" s="135">
        <v>7.6152118996814968</v>
      </c>
      <c r="I169" s="104"/>
    </row>
    <row r="170" spans="1:9" ht="16.5" x14ac:dyDescent="0.3">
      <c r="A170" s="104" t="str">
        <f ca="1">'Calc (Market Planning Case)'!$B$2</f>
        <v>Calc (Market Planning Case)</v>
      </c>
      <c r="B170" s="105" t="s">
        <v>43</v>
      </c>
      <c r="C170" s="112" t="s">
        <v>73</v>
      </c>
      <c r="D170" s="112"/>
      <c r="E170" s="112"/>
      <c r="F170" s="118">
        <f t="shared" ref="F170:H171" si="22">F168</f>
        <v>4.0276773109409696</v>
      </c>
      <c r="G170" s="118">
        <f t="shared" si="22"/>
        <v>4.2106184976715006</v>
      </c>
      <c r="H170" s="118">
        <f t="shared" si="22"/>
        <v>4.3501093587834321</v>
      </c>
      <c r="I170" s="104"/>
    </row>
    <row r="171" spans="1:9" ht="16.5" x14ac:dyDescent="0.3">
      <c r="A171" s="104" t="str">
        <f ca="1">'Calc (Market Slow Rate)'!$B$2</f>
        <v>Calc (Market Slow Rate)</v>
      </c>
      <c r="B171" s="105" t="s">
        <v>43</v>
      </c>
      <c r="C171" s="112" t="s">
        <v>73</v>
      </c>
      <c r="D171" s="112"/>
      <c r="E171" s="112"/>
      <c r="F171" s="118">
        <f t="shared" si="22"/>
        <v>7.0507698085305703</v>
      </c>
      <c r="G171" s="118">
        <f t="shared" si="22"/>
        <v>7.3710231816011316</v>
      </c>
      <c r="H171" s="118">
        <f t="shared" si="22"/>
        <v>7.6152118996814968</v>
      </c>
      <c r="I171" s="104"/>
    </row>
    <row r="172" spans="1:9" ht="16.5" x14ac:dyDescent="0.3">
      <c r="A172" s="112"/>
      <c r="B172" s="104"/>
      <c r="C172" s="104"/>
      <c r="D172" s="104"/>
      <c r="E172" s="104"/>
      <c r="F172" s="116"/>
      <c r="G172" s="116"/>
      <c r="H172" s="116"/>
      <c r="I172" s="104"/>
    </row>
    <row r="173" spans="1:9" ht="16.5" x14ac:dyDescent="0.3">
      <c r="A173" s="109" t="s">
        <v>23</v>
      </c>
      <c r="B173" s="104"/>
      <c r="C173" s="104"/>
      <c r="D173" s="104"/>
      <c r="E173" s="104"/>
      <c r="F173" s="116"/>
      <c r="G173" s="116"/>
      <c r="H173" s="116"/>
      <c r="I173" s="104"/>
    </row>
    <row r="174" spans="1:9" ht="16.5" x14ac:dyDescent="0.3">
      <c r="A174" s="54" t="str">
        <f>Dist1</f>
        <v xml:space="preserve">Ausgrid </v>
      </c>
      <c r="B174" s="135" t="s">
        <v>143</v>
      </c>
      <c r="C174" s="112" t="s">
        <v>73</v>
      </c>
      <c r="D174" s="112"/>
      <c r="E174" s="112"/>
      <c r="F174" s="135">
        <v>6.3165039703546864</v>
      </c>
      <c r="G174" s="135">
        <v>2.7122475951916751</v>
      </c>
      <c r="H174" s="135">
        <v>2.2993135057562673</v>
      </c>
      <c r="I174" s="104"/>
    </row>
    <row r="175" spans="1:9" ht="16.5" x14ac:dyDescent="0.3">
      <c r="A175" s="54" t="str">
        <f>Dist2</f>
        <v>Essential</v>
      </c>
      <c r="B175" s="135" t="s">
        <v>143</v>
      </c>
      <c r="C175" s="112" t="s">
        <v>73</v>
      </c>
      <c r="D175" s="112"/>
      <c r="E175" s="112"/>
      <c r="F175" s="135">
        <v>6.3573256330519765</v>
      </c>
      <c r="G175" s="135">
        <v>2.7297760344995718</v>
      </c>
      <c r="H175" s="135">
        <v>2.314173276415453</v>
      </c>
      <c r="I175" s="104"/>
    </row>
    <row r="176" spans="1:9" ht="16.5" x14ac:dyDescent="0.3">
      <c r="A176" s="54" t="str">
        <f>Dist3</f>
        <v>Endeavour</v>
      </c>
      <c r="B176" s="135" t="s">
        <v>143</v>
      </c>
      <c r="C176" s="112" t="s">
        <v>73</v>
      </c>
      <c r="D176" s="112"/>
      <c r="E176" s="112"/>
      <c r="F176" s="135">
        <v>6.3889859154929578</v>
      </c>
      <c r="G176" s="135">
        <v>2.7433706630024051</v>
      </c>
      <c r="H176" s="135">
        <v>2.325698150832419</v>
      </c>
      <c r="I176" s="104"/>
    </row>
    <row r="177" spans="1:9" ht="16.5" x14ac:dyDescent="0.3">
      <c r="A177" s="54"/>
      <c r="B177" s="112"/>
      <c r="C177" s="112"/>
      <c r="D177" s="112"/>
      <c r="E177" s="112"/>
      <c r="F177" s="112"/>
      <c r="G177" s="112"/>
      <c r="H177" s="112"/>
      <c r="I177" s="112"/>
    </row>
    <row r="178" spans="1:9" ht="16.5" hidden="1" x14ac:dyDescent="0.3">
      <c r="A178" s="109" t="str">
        <f>Scheme1</f>
        <v>Energy savings</v>
      </c>
      <c r="B178" s="104"/>
      <c r="C178" s="104"/>
      <c r="D178" s="104"/>
      <c r="E178" s="104"/>
      <c r="F178" s="116"/>
      <c r="G178" s="116"/>
      <c r="H178" s="116"/>
      <c r="I178" s="104"/>
    </row>
    <row r="179" spans="1:9" ht="16.5" hidden="1" x14ac:dyDescent="0.3">
      <c r="A179" s="54" t="str">
        <f>Dist1</f>
        <v xml:space="preserve">Ausgrid </v>
      </c>
      <c r="B179" s="112"/>
      <c r="C179" s="104"/>
      <c r="D179" s="112"/>
      <c r="E179" s="112"/>
      <c r="F179" s="116"/>
      <c r="G179" s="116"/>
      <c r="H179" s="116"/>
      <c r="I179" s="104"/>
    </row>
    <row r="180" spans="1:9" ht="16.5" hidden="1" x14ac:dyDescent="0.3">
      <c r="A180" s="104" t="str">
        <f ca="1">'Calc (LRMC Planning case)'!$B$2</f>
        <v>Calc (LRMC Planning case)</v>
      </c>
      <c r="B180" s="135"/>
      <c r="C180" s="112" t="s">
        <v>73</v>
      </c>
      <c r="D180" s="112"/>
      <c r="E180" s="112"/>
      <c r="F180" s="135"/>
      <c r="G180" s="135"/>
      <c r="H180" s="135"/>
      <c r="I180" s="104"/>
    </row>
    <row r="181" spans="1:9" ht="16.5" hidden="1" x14ac:dyDescent="0.3">
      <c r="A181" s="104" t="str">
        <f ca="1">'Calc (LRMC Slow Rate)'!$B$2</f>
        <v>Calc (LRMC Slow Rate)</v>
      </c>
      <c r="B181" s="135"/>
      <c r="C181" s="112" t="s">
        <v>73</v>
      </c>
      <c r="D181" s="112"/>
      <c r="E181" s="112"/>
      <c r="F181" s="135"/>
      <c r="G181" s="135"/>
      <c r="H181" s="135"/>
      <c r="I181" s="104"/>
    </row>
    <row r="182" spans="1:9" ht="16.5" hidden="1" x14ac:dyDescent="0.3">
      <c r="A182" s="104" t="str">
        <f ca="1">'Calc (Market Planning Case)'!$B$2</f>
        <v>Calc (Market Planning Case)</v>
      </c>
      <c r="B182" s="135"/>
      <c r="C182" s="112" t="s">
        <v>73</v>
      </c>
      <c r="D182" s="112"/>
      <c r="E182" s="112"/>
      <c r="F182" s="135"/>
      <c r="G182" s="135"/>
      <c r="H182" s="135"/>
      <c r="I182" s="104"/>
    </row>
    <row r="183" spans="1:9" ht="16.5" hidden="1" x14ac:dyDescent="0.3">
      <c r="A183" s="104" t="str">
        <f ca="1">'Calc (Market Slow Rate)'!$B$2</f>
        <v>Calc (Market Slow Rate)</v>
      </c>
      <c r="B183" s="135"/>
      <c r="C183" s="112" t="s">
        <v>73</v>
      </c>
      <c r="D183" s="112"/>
      <c r="E183" s="112"/>
      <c r="F183" s="135"/>
      <c r="G183" s="135"/>
      <c r="H183" s="135"/>
      <c r="I183" s="104"/>
    </row>
    <row r="184" spans="1:9" ht="16.5" hidden="1" x14ac:dyDescent="0.3">
      <c r="A184" s="54"/>
      <c r="B184" s="112"/>
      <c r="C184" s="112"/>
      <c r="D184" s="112"/>
      <c r="E184" s="112"/>
      <c r="F184" s="116"/>
      <c r="G184" s="116"/>
      <c r="H184" s="116"/>
      <c r="I184" s="104"/>
    </row>
    <row r="185" spans="1:9" ht="16.5" hidden="1" x14ac:dyDescent="0.3">
      <c r="A185" s="54" t="str">
        <f>Dist2</f>
        <v>Essential</v>
      </c>
      <c r="B185" s="112"/>
      <c r="C185" s="104"/>
      <c r="D185" s="112"/>
      <c r="E185" s="112"/>
      <c r="F185" s="116"/>
      <c r="G185" s="116"/>
      <c r="H185" s="116"/>
      <c r="I185" s="104"/>
    </row>
    <row r="186" spans="1:9" ht="16.5" hidden="1" x14ac:dyDescent="0.3">
      <c r="A186" s="104" t="str">
        <f ca="1">'Calc (LRMC Planning case)'!$B$2</f>
        <v>Calc (LRMC Planning case)</v>
      </c>
      <c r="B186" s="135"/>
      <c r="C186" s="112" t="s">
        <v>73</v>
      </c>
      <c r="D186" s="112"/>
      <c r="E186" s="112"/>
      <c r="F186" s="135"/>
      <c r="G186" s="135"/>
      <c r="H186" s="135"/>
      <c r="I186" s="104"/>
    </row>
    <row r="187" spans="1:9" ht="16.5" hidden="1" x14ac:dyDescent="0.3">
      <c r="A187" s="104" t="str">
        <f ca="1">'Calc (LRMC Slow Rate)'!$B$2</f>
        <v>Calc (LRMC Slow Rate)</v>
      </c>
      <c r="B187" s="135"/>
      <c r="C187" s="112" t="s">
        <v>73</v>
      </c>
      <c r="D187" s="112"/>
      <c r="E187" s="112"/>
      <c r="F187" s="135"/>
      <c r="G187" s="135"/>
      <c r="H187" s="135"/>
      <c r="I187" s="104"/>
    </row>
    <row r="188" spans="1:9" ht="16.5" hidden="1" x14ac:dyDescent="0.3">
      <c r="A188" s="104" t="str">
        <f ca="1">'Calc (Market Planning Case)'!$B$2</f>
        <v>Calc (Market Planning Case)</v>
      </c>
      <c r="B188" s="135"/>
      <c r="C188" s="112" t="s">
        <v>73</v>
      </c>
      <c r="D188" s="112"/>
      <c r="E188" s="112"/>
      <c r="F188" s="135"/>
      <c r="G188" s="135"/>
      <c r="H188" s="135"/>
      <c r="I188" s="104"/>
    </row>
    <row r="189" spans="1:9" ht="16.5" hidden="1" x14ac:dyDescent="0.3">
      <c r="A189" s="104" t="str">
        <f ca="1">'Calc (Market Slow Rate)'!$B$2</f>
        <v>Calc (Market Slow Rate)</v>
      </c>
      <c r="B189" s="135"/>
      <c r="C189" s="112" t="s">
        <v>73</v>
      </c>
      <c r="D189" s="112"/>
      <c r="E189" s="112"/>
      <c r="F189" s="135"/>
      <c r="G189" s="135"/>
      <c r="H189" s="135"/>
      <c r="I189" s="104"/>
    </row>
    <row r="190" spans="1:9" ht="16.5" hidden="1" x14ac:dyDescent="0.3">
      <c r="A190" s="54"/>
      <c r="B190" s="112"/>
      <c r="C190" s="112"/>
      <c r="D190" s="112"/>
      <c r="E190" s="112"/>
      <c r="F190" s="112"/>
      <c r="G190" s="112"/>
      <c r="H190" s="112"/>
      <c r="I190" s="104"/>
    </row>
    <row r="191" spans="1:9" ht="16.5" hidden="1" x14ac:dyDescent="0.3">
      <c r="A191" s="54" t="str">
        <f>Dist3</f>
        <v>Endeavour</v>
      </c>
      <c r="B191" s="112"/>
      <c r="C191" s="104"/>
      <c r="D191" s="112"/>
      <c r="E191" s="112"/>
      <c r="F191" s="116"/>
      <c r="G191" s="116"/>
      <c r="H191" s="116"/>
      <c r="I191" s="104"/>
    </row>
    <row r="192" spans="1:9" ht="16.5" hidden="1" x14ac:dyDescent="0.3">
      <c r="A192" s="104" t="str">
        <f ca="1">'Calc (LRMC Planning case)'!$B$2</f>
        <v>Calc (LRMC Planning case)</v>
      </c>
      <c r="B192" s="135"/>
      <c r="C192" s="112" t="s">
        <v>73</v>
      </c>
      <c r="D192" s="112"/>
      <c r="E192" s="112"/>
      <c r="F192" s="135"/>
      <c r="G192" s="135"/>
      <c r="H192" s="135"/>
      <c r="I192" s="104"/>
    </row>
    <row r="193" spans="1:9" ht="16.5" hidden="1" x14ac:dyDescent="0.3">
      <c r="A193" s="104" t="str">
        <f ca="1">'Calc (LRMC Slow Rate)'!$B$2</f>
        <v>Calc (LRMC Slow Rate)</v>
      </c>
      <c r="B193" s="135"/>
      <c r="C193" s="112" t="s">
        <v>73</v>
      </c>
      <c r="D193" s="112"/>
      <c r="E193" s="112"/>
      <c r="F193" s="135"/>
      <c r="G193" s="135"/>
      <c r="H193" s="135"/>
      <c r="I193" s="104"/>
    </row>
    <row r="194" spans="1:9" ht="16.5" hidden="1" x14ac:dyDescent="0.3">
      <c r="A194" s="104" t="str">
        <f ca="1">'Calc (Market Planning Case)'!$B$2</f>
        <v>Calc (Market Planning Case)</v>
      </c>
      <c r="B194" s="135"/>
      <c r="C194" s="112" t="s">
        <v>73</v>
      </c>
      <c r="D194" s="112"/>
      <c r="E194" s="112"/>
      <c r="F194" s="135"/>
      <c r="G194" s="135"/>
      <c r="H194" s="135"/>
      <c r="I194" s="104"/>
    </row>
    <row r="195" spans="1:9" ht="16.5" hidden="1" x14ac:dyDescent="0.3">
      <c r="A195" s="104" t="str">
        <f ca="1">'Calc (Market Slow Rate)'!$B$2</f>
        <v>Calc (Market Slow Rate)</v>
      </c>
      <c r="B195" s="135"/>
      <c r="C195" s="112" t="s">
        <v>73</v>
      </c>
      <c r="D195" s="112"/>
      <c r="E195" s="112"/>
      <c r="F195" s="135"/>
      <c r="G195" s="135"/>
      <c r="H195" s="135"/>
      <c r="I195" s="104"/>
    </row>
    <row r="196" spans="1:9" ht="16.5" hidden="1" x14ac:dyDescent="0.3">
      <c r="A196" s="54"/>
      <c r="B196" s="112"/>
      <c r="C196" s="112"/>
      <c r="D196" s="112"/>
      <c r="E196" s="112"/>
      <c r="F196" s="112"/>
      <c r="G196" s="112"/>
      <c r="H196" s="112"/>
      <c r="I196" s="104"/>
    </row>
    <row r="197" spans="1:9" ht="16.5" hidden="1" x14ac:dyDescent="0.3">
      <c r="A197" s="123" t="str">
        <f>Scheme2</f>
        <v>Blank</v>
      </c>
      <c r="B197" s="104"/>
      <c r="C197" s="104"/>
      <c r="D197" s="104"/>
      <c r="E197" s="104"/>
      <c r="F197" s="104"/>
      <c r="G197" s="104"/>
      <c r="H197" s="104"/>
      <c r="I197" s="104"/>
    </row>
    <row r="198" spans="1:9" ht="16.5" hidden="1" x14ac:dyDescent="0.3">
      <c r="A198" s="54" t="str">
        <f>Dist1</f>
        <v xml:space="preserve">Ausgrid </v>
      </c>
      <c r="B198" s="112"/>
      <c r="C198" s="104"/>
      <c r="D198" s="112"/>
      <c r="E198" s="112"/>
      <c r="F198" s="116"/>
      <c r="G198" s="116"/>
      <c r="H198" s="116"/>
      <c r="I198" s="104"/>
    </row>
    <row r="199" spans="1:9" ht="16.5" hidden="1" x14ac:dyDescent="0.3">
      <c r="A199" s="104" t="str">
        <f ca="1">'Calc (LRMC Planning case)'!$B$2</f>
        <v>Calc (LRMC Planning case)</v>
      </c>
      <c r="B199" s="135"/>
      <c r="C199" s="112" t="s">
        <v>73</v>
      </c>
      <c r="D199" s="112"/>
      <c r="E199" s="112"/>
      <c r="F199" s="135"/>
      <c r="G199" s="135"/>
      <c r="H199" s="135"/>
      <c r="I199" s="104"/>
    </row>
    <row r="200" spans="1:9" ht="16.5" hidden="1" x14ac:dyDescent="0.3">
      <c r="A200" s="104" t="str">
        <f ca="1">'Calc (LRMC Slow Rate)'!$B$2</f>
        <v>Calc (LRMC Slow Rate)</v>
      </c>
      <c r="B200" s="135"/>
      <c r="C200" s="112" t="s">
        <v>73</v>
      </c>
      <c r="D200" s="112"/>
      <c r="E200" s="112"/>
      <c r="F200" s="135"/>
      <c r="G200" s="135"/>
      <c r="H200" s="135"/>
      <c r="I200" s="104"/>
    </row>
    <row r="201" spans="1:9" ht="16.5" hidden="1" x14ac:dyDescent="0.3">
      <c r="A201" s="104" t="str">
        <f ca="1">'Calc (Market Planning Case)'!$B$2</f>
        <v>Calc (Market Planning Case)</v>
      </c>
      <c r="B201" s="135"/>
      <c r="C201" s="112" t="s">
        <v>73</v>
      </c>
      <c r="D201" s="112"/>
      <c r="E201" s="112"/>
      <c r="F201" s="135"/>
      <c r="G201" s="135"/>
      <c r="H201" s="135"/>
      <c r="I201" s="104"/>
    </row>
    <row r="202" spans="1:9" ht="16.5" hidden="1" x14ac:dyDescent="0.3">
      <c r="A202" s="104" t="str">
        <f ca="1">'Calc (Market Slow Rate)'!$B$2</f>
        <v>Calc (Market Slow Rate)</v>
      </c>
      <c r="B202" s="135"/>
      <c r="C202" s="112" t="s">
        <v>73</v>
      </c>
      <c r="D202" s="112"/>
      <c r="E202" s="112"/>
      <c r="F202" s="135"/>
      <c r="G202" s="135"/>
      <c r="H202" s="135"/>
      <c r="I202" s="104"/>
    </row>
    <row r="203" spans="1:9" ht="16.5" hidden="1" x14ac:dyDescent="0.3">
      <c r="A203" s="54"/>
      <c r="B203" s="112"/>
      <c r="C203" s="112"/>
      <c r="D203" s="112"/>
      <c r="E203" s="112"/>
      <c r="F203" s="116"/>
      <c r="G203" s="116"/>
      <c r="H203" s="116"/>
      <c r="I203" s="104"/>
    </row>
    <row r="204" spans="1:9" ht="16.5" hidden="1" x14ac:dyDescent="0.3">
      <c r="A204" s="54" t="str">
        <f>Dist2</f>
        <v>Essential</v>
      </c>
      <c r="B204" s="112"/>
      <c r="C204" s="104"/>
      <c r="D204" s="112"/>
      <c r="E204" s="112"/>
      <c r="F204" s="116"/>
      <c r="G204" s="116"/>
      <c r="H204" s="116"/>
      <c r="I204" s="104"/>
    </row>
    <row r="205" spans="1:9" ht="16.5" hidden="1" x14ac:dyDescent="0.3">
      <c r="A205" s="104" t="str">
        <f ca="1">'Calc (LRMC Planning case)'!$B$2</f>
        <v>Calc (LRMC Planning case)</v>
      </c>
      <c r="B205" s="135"/>
      <c r="C205" s="112" t="s">
        <v>73</v>
      </c>
      <c r="D205" s="112"/>
      <c r="E205" s="112"/>
      <c r="F205" s="135"/>
      <c r="G205" s="135"/>
      <c r="H205" s="135"/>
      <c r="I205" s="104"/>
    </row>
    <row r="206" spans="1:9" ht="16.5" hidden="1" x14ac:dyDescent="0.3">
      <c r="A206" s="104" t="str">
        <f ca="1">'Calc (LRMC Slow Rate)'!$B$2</f>
        <v>Calc (LRMC Slow Rate)</v>
      </c>
      <c r="B206" s="135"/>
      <c r="C206" s="112" t="s">
        <v>73</v>
      </c>
      <c r="D206" s="112"/>
      <c r="E206" s="112"/>
      <c r="F206" s="135"/>
      <c r="G206" s="135"/>
      <c r="H206" s="135"/>
      <c r="I206" s="104"/>
    </row>
    <row r="207" spans="1:9" ht="16.5" hidden="1" x14ac:dyDescent="0.3">
      <c r="A207" s="104" t="str">
        <f ca="1">'Calc (Market Planning Case)'!$B$2</f>
        <v>Calc (Market Planning Case)</v>
      </c>
      <c r="B207" s="135"/>
      <c r="C207" s="112" t="s">
        <v>73</v>
      </c>
      <c r="D207" s="112"/>
      <c r="E207" s="112"/>
      <c r="F207" s="135"/>
      <c r="G207" s="135"/>
      <c r="H207" s="135"/>
      <c r="I207" s="104"/>
    </row>
    <row r="208" spans="1:9" ht="16.5" hidden="1" x14ac:dyDescent="0.3">
      <c r="A208" s="104" t="str">
        <f ca="1">'Calc (Market Slow Rate)'!$B$2</f>
        <v>Calc (Market Slow Rate)</v>
      </c>
      <c r="B208" s="135"/>
      <c r="C208" s="112" t="s">
        <v>73</v>
      </c>
      <c r="D208" s="112"/>
      <c r="E208" s="112"/>
      <c r="F208" s="135"/>
      <c r="G208" s="135"/>
      <c r="H208" s="135"/>
      <c r="I208" s="104"/>
    </row>
    <row r="209" spans="1:9" ht="16.5" hidden="1" x14ac:dyDescent="0.3">
      <c r="A209" s="54"/>
      <c r="B209" s="112"/>
      <c r="C209" s="112"/>
      <c r="D209" s="112"/>
      <c r="E209" s="112"/>
      <c r="F209" s="112"/>
      <c r="G209" s="112"/>
      <c r="H209" s="112"/>
      <c r="I209" s="104"/>
    </row>
    <row r="210" spans="1:9" ht="16.5" hidden="1" x14ac:dyDescent="0.3">
      <c r="A210" s="54" t="str">
        <f>Dist3</f>
        <v>Endeavour</v>
      </c>
      <c r="B210" s="112"/>
      <c r="C210" s="104"/>
      <c r="D210" s="112"/>
      <c r="E210" s="112"/>
      <c r="F210" s="116"/>
      <c r="G210" s="116"/>
      <c r="H210" s="116"/>
      <c r="I210" s="104"/>
    </row>
    <row r="211" spans="1:9" ht="16.5" hidden="1" x14ac:dyDescent="0.3">
      <c r="A211" s="104" t="str">
        <f ca="1">'Calc (LRMC Planning case)'!$B$2</f>
        <v>Calc (LRMC Planning case)</v>
      </c>
      <c r="B211" s="135"/>
      <c r="C211" s="112" t="s">
        <v>73</v>
      </c>
      <c r="D211" s="112"/>
      <c r="E211" s="112"/>
      <c r="F211" s="135"/>
      <c r="G211" s="135"/>
      <c r="H211" s="135"/>
      <c r="I211" s="104"/>
    </row>
    <row r="212" spans="1:9" ht="16.5" hidden="1" x14ac:dyDescent="0.3">
      <c r="A212" s="104" t="str">
        <f ca="1">'Calc (LRMC Slow Rate)'!$B$2</f>
        <v>Calc (LRMC Slow Rate)</v>
      </c>
      <c r="B212" s="135"/>
      <c r="C212" s="112" t="s">
        <v>73</v>
      </c>
      <c r="D212" s="112"/>
      <c r="E212" s="112"/>
      <c r="F212" s="135"/>
      <c r="G212" s="135"/>
      <c r="H212" s="135"/>
      <c r="I212" s="104"/>
    </row>
    <row r="213" spans="1:9" ht="16.5" hidden="1" x14ac:dyDescent="0.3">
      <c r="A213" s="104" t="str">
        <f ca="1">'Calc (Market Planning Case)'!$B$2</f>
        <v>Calc (Market Planning Case)</v>
      </c>
      <c r="B213" s="135"/>
      <c r="C213" s="112" t="s">
        <v>73</v>
      </c>
      <c r="D213" s="112"/>
      <c r="E213" s="112"/>
      <c r="F213" s="135"/>
      <c r="G213" s="135"/>
      <c r="H213" s="135"/>
      <c r="I213" s="104"/>
    </row>
    <row r="214" spans="1:9" ht="16.5" hidden="1" x14ac:dyDescent="0.3">
      <c r="A214" s="104" t="str">
        <f ca="1">'Calc (Market Slow Rate)'!$B$2</f>
        <v>Calc (Market Slow Rate)</v>
      </c>
      <c r="B214" s="135"/>
      <c r="C214" s="112" t="s">
        <v>73</v>
      </c>
      <c r="D214" s="112"/>
      <c r="E214" s="112"/>
      <c r="F214" s="135"/>
      <c r="G214" s="135"/>
      <c r="H214" s="135"/>
      <c r="I214" s="104"/>
    </row>
    <row r="215" spans="1:9" ht="16.5" hidden="1" x14ac:dyDescent="0.3">
      <c r="A215" s="54"/>
      <c r="B215" s="112"/>
      <c r="C215" s="112"/>
      <c r="D215" s="112"/>
      <c r="E215" s="112"/>
      <c r="F215" s="116"/>
      <c r="G215" s="55"/>
      <c r="H215" s="55"/>
      <c r="I215" s="104"/>
    </row>
    <row r="216" spans="1:9" ht="16.5" x14ac:dyDescent="0.3">
      <c r="I216" s="104"/>
    </row>
    <row r="217" spans="1:9" ht="16.5" x14ac:dyDescent="0.3">
      <c r="I217" s="104"/>
    </row>
    <row r="218" spans="1:9" ht="16.5" x14ac:dyDescent="0.3">
      <c r="I218" s="104"/>
    </row>
    <row r="219" spans="1:9" ht="16.5" x14ac:dyDescent="0.3">
      <c r="I219" s="104"/>
    </row>
    <row r="220" spans="1:9" ht="16.5" x14ac:dyDescent="0.3">
      <c r="I220" s="104"/>
    </row>
    <row r="221" spans="1:9" ht="16.5" x14ac:dyDescent="0.3">
      <c r="I221" s="104"/>
    </row>
    <row r="222" spans="1:9" ht="16.5" x14ac:dyDescent="0.3">
      <c r="I222" s="104"/>
    </row>
    <row r="223" spans="1:9" ht="16.5" x14ac:dyDescent="0.3">
      <c r="I223" s="104"/>
    </row>
  </sheetData>
  <sheetProtection password="D9A8" sheet="1" objects="1" scenarios="1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3"/>
  <sheetViews>
    <sheetView zoomScaleNormal="100" workbookViewId="0">
      <pane ySplit="4" topLeftCell="A5" activePane="bottomLeft" state="frozenSplit"/>
      <selection activeCell="E6" sqref="E6"/>
      <selection pane="bottomLeft" activeCell="E540" sqref="E540"/>
    </sheetView>
  </sheetViews>
  <sheetFormatPr defaultColWidth="9.140625" defaultRowHeight="16.5" x14ac:dyDescent="0.3"/>
  <cols>
    <col min="1" max="1" width="27.5703125" style="66" bestFit="1" customWidth="1"/>
    <col min="2" max="3" width="15" style="66" customWidth="1"/>
    <col min="4" max="6" width="17.7109375" style="66" customWidth="1"/>
    <col min="7" max="8" width="17.7109375" style="35" customWidth="1"/>
    <col min="9" max="9" width="14.85546875" style="66" customWidth="1"/>
    <col min="10" max="10" width="11.42578125" style="66" bestFit="1" customWidth="1"/>
    <col min="11" max="11" width="11.28515625" style="66" bestFit="1" customWidth="1"/>
    <col min="12" max="13" width="12.42578125" style="66" bestFit="1" customWidth="1"/>
    <col min="14" max="14" width="13" style="66" bestFit="1" customWidth="1"/>
    <col min="15" max="15" width="9.85546875" style="66" bestFit="1" customWidth="1"/>
    <col min="16" max="16384" width="9.140625" style="66"/>
  </cols>
  <sheetData>
    <row r="1" spans="1:9" s="22" customFormat="1" ht="23.25" x14ac:dyDescent="0.35">
      <c r="A1" s="22" t="s">
        <v>7</v>
      </c>
      <c r="B1" s="24" t="str">
        <f ca="1">'Input Global'!B1</f>
        <v>2012 Pricing Trends - model - NSW</v>
      </c>
      <c r="C1" s="24"/>
      <c r="D1" s="24"/>
      <c r="E1" s="24"/>
      <c r="F1" s="24"/>
      <c r="I1" s="120" t="s">
        <v>37</v>
      </c>
    </row>
    <row r="2" spans="1:9" s="22" customFormat="1" ht="18.75" x14ac:dyDescent="0.3">
      <c r="B2" s="26" t="str">
        <f ca="1">RIGHT(CELL("filename",B2),LEN(CELL("filename",B2))-SEARCH("]",CELL("filename",B2)))</f>
        <v>Input General</v>
      </c>
      <c r="C2" s="26"/>
      <c r="D2" s="26"/>
      <c r="E2" s="26"/>
      <c r="F2" s="26"/>
      <c r="I2" s="77" t="s">
        <v>31</v>
      </c>
    </row>
    <row r="3" spans="1:9" s="22" customFormat="1" x14ac:dyDescent="0.3">
      <c r="I3" s="128" t="s">
        <v>38</v>
      </c>
    </row>
    <row r="4" spans="1:9" s="22" customFormat="1" ht="15.75" x14ac:dyDescent="0.3">
      <c r="B4" s="27"/>
      <c r="C4" s="28" t="s">
        <v>14</v>
      </c>
      <c r="D4" s="28" t="str">
        <f>'Input Global'!D4</f>
        <v>2010/11</v>
      </c>
      <c r="E4" s="28" t="str">
        <f>'Input Global'!E4</f>
        <v>2011/12</v>
      </c>
      <c r="F4" s="28" t="str">
        <f>'Input Global'!F4</f>
        <v>2012/13</v>
      </c>
      <c r="G4" s="28" t="str">
        <f>'Input Global'!G4</f>
        <v>2013/14</v>
      </c>
      <c r="H4" s="28" t="str">
        <f>'Input Global'!H4</f>
        <v>2014/15</v>
      </c>
    </row>
    <row r="5" spans="1:9" s="35" customFormat="1" x14ac:dyDescent="0.3"/>
    <row r="6" spans="1:9" s="37" customFormat="1" ht="18.75" x14ac:dyDescent="0.3">
      <c r="A6" s="36" t="s">
        <v>125</v>
      </c>
    </row>
    <row r="7" spans="1:9" s="35" customFormat="1" x14ac:dyDescent="0.3">
      <c r="A7" s="38" t="str">
        <f>Dist1</f>
        <v xml:space="preserve">Ausgrid </v>
      </c>
      <c r="F7" s="39"/>
    </row>
    <row r="8" spans="1:9" s="35" customFormat="1" x14ac:dyDescent="0.3">
      <c r="A8" s="40" t="s">
        <v>24</v>
      </c>
      <c r="B8" s="35" t="s">
        <v>31</v>
      </c>
      <c r="C8" s="35" t="s">
        <v>35</v>
      </c>
      <c r="D8" s="80">
        <f>IF($C390="$/pa",D390*100,D390)</f>
        <v>0</v>
      </c>
      <c r="E8" s="80">
        <f>IF($C390="$/pa",E390*100,E390)</f>
        <v>0</v>
      </c>
      <c r="F8" s="80">
        <f>IF($C390="$/pa",F390*100,F390)</f>
        <v>0</v>
      </c>
      <c r="G8" s="80">
        <f>IF($C390="$/pa",G390*100,G390)</f>
        <v>0</v>
      </c>
      <c r="H8" s="80">
        <f>IF($C390="$/pa",H390*100,H390)</f>
        <v>0</v>
      </c>
    </row>
    <row r="9" spans="1:9" s="35" customFormat="1" x14ac:dyDescent="0.3">
      <c r="A9" s="40" t="s">
        <v>25</v>
      </c>
      <c r="B9" s="35" t="s">
        <v>31</v>
      </c>
      <c r="C9" s="35" t="s">
        <v>17</v>
      </c>
      <c r="D9" s="80">
        <f>IF($C391="$/kwh",D391*100,IF($C391="$/mwh",D391*100/1000,D391))</f>
        <v>0.150785</v>
      </c>
      <c r="E9" s="80">
        <f>IF($C391="$/kwh",E391*100,IF($C391="$/mwh",E391*100/1000,E391))</f>
        <v>0.11330000000000005</v>
      </c>
      <c r="F9" s="80">
        <f>IF($C391="$/kwh",F391*100,IF($C391="$/mwh",F391*100/1000,F391))</f>
        <v>0.2</v>
      </c>
      <c r="G9" s="80">
        <f>IF($C391="$/kwh",G391*100,IF($C391="$/mwh",G391*100/1000,G391))</f>
        <v>0.2139333003952569</v>
      </c>
      <c r="H9" s="80">
        <f>IF($C391="$/kwh",H391*100,IF($C391="$/mwh",H391*100/1000,H391))</f>
        <v>0.22883728509003615</v>
      </c>
    </row>
    <row r="10" spans="1:9" s="35" customFormat="1" x14ac:dyDescent="0.3">
      <c r="A10" s="40" t="s">
        <v>26</v>
      </c>
      <c r="B10" s="35" t="s">
        <v>31</v>
      </c>
      <c r="C10" s="35" t="s">
        <v>17</v>
      </c>
      <c r="D10" s="80">
        <f t="shared" ref="D10:H12" si="0">IF($C392="$/kwh",D392*100,IF($C392="$/mwh",D392*100/1000,D392))</f>
        <v>9.0733999999999995</v>
      </c>
      <c r="E10" s="80">
        <f t="shared" si="0"/>
        <v>11.661762629558156</v>
      </c>
      <c r="F10" s="106">
        <f t="shared" si="0"/>
        <v>12.215578684758055</v>
      </c>
      <c r="G10" s="106">
        <f t="shared" si="0"/>
        <v>13.066595321341209</v>
      </c>
      <c r="H10" s="80">
        <f t="shared" ref="G10:H11" si="1">IF($C392="$/kwh",H392*100,IF($C392="$/mwh",H392*100/1000,H392))</f>
        <v>13.976899310118737</v>
      </c>
    </row>
    <row r="11" spans="1:9" s="35" customFormat="1" x14ac:dyDescent="0.3">
      <c r="A11" s="40" t="s">
        <v>27</v>
      </c>
      <c r="B11" s="35" t="s">
        <v>31</v>
      </c>
      <c r="C11" s="35" t="s">
        <v>17</v>
      </c>
      <c r="D11" s="80">
        <f t="shared" si="0"/>
        <v>0</v>
      </c>
      <c r="E11" s="80">
        <f t="shared" si="0"/>
        <v>0</v>
      </c>
      <c r="F11" s="80">
        <f>IF($C393="$/kwh",F393*100,IF($C393="$/mwh",F393*100/1000,F393))</f>
        <v>15.499999999999931</v>
      </c>
      <c r="G11" s="80">
        <f t="shared" si="1"/>
        <v>16.579830780632335</v>
      </c>
      <c r="H11" s="80">
        <f t="shared" si="1"/>
        <v>17.734889594477721</v>
      </c>
    </row>
    <row r="12" spans="1:9" s="35" customFormat="1" x14ac:dyDescent="0.3">
      <c r="A12" s="40" t="s">
        <v>89</v>
      </c>
      <c r="B12" s="35" t="s">
        <v>31</v>
      </c>
      <c r="C12" s="35" t="s">
        <v>17</v>
      </c>
      <c r="D12" s="80">
        <f t="shared" si="0"/>
        <v>0</v>
      </c>
      <c r="E12" s="80">
        <f t="shared" si="0"/>
        <v>0</v>
      </c>
      <c r="F12" s="106">
        <f t="shared" si="0"/>
        <v>0</v>
      </c>
      <c r="G12" s="106">
        <f t="shared" si="0"/>
        <v>0</v>
      </c>
      <c r="H12" s="106">
        <f t="shared" si="0"/>
        <v>0</v>
      </c>
    </row>
    <row r="13" spans="1:9" s="35" customFormat="1" x14ac:dyDescent="0.3">
      <c r="A13" s="38" t="str">
        <f>Dist2</f>
        <v>Essential</v>
      </c>
      <c r="D13" s="73"/>
      <c r="E13" s="73"/>
      <c r="F13" s="73"/>
      <c r="G13" s="73"/>
      <c r="H13" s="73"/>
    </row>
    <row r="14" spans="1:9" s="35" customFormat="1" x14ac:dyDescent="0.3">
      <c r="A14" s="40" t="str">
        <f>A8</f>
        <v>Standing</v>
      </c>
      <c r="B14" s="35" t="s">
        <v>31</v>
      </c>
      <c r="C14" s="35" t="s">
        <v>35</v>
      </c>
      <c r="D14" s="80">
        <f>IF($C400="$/pa",D400*100,D400)</f>
        <v>0</v>
      </c>
      <c r="E14" s="80">
        <f>IF($C400="$/pa",E400*100,E400)</f>
        <v>0</v>
      </c>
      <c r="F14" s="80">
        <f>IF($C400="$/pa",F400*100,F400)</f>
        <v>0</v>
      </c>
      <c r="G14" s="80">
        <f>IF($C400="$/pa",G400*100,G400)</f>
        <v>0</v>
      </c>
      <c r="H14" s="80">
        <f>IF($C400="$/pa",H400*100,H400)</f>
        <v>0</v>
      </c>
    </row>
    <row r="15" spans="1:9" s="35" customFormat="1" x14ac:dyDescent="0.3">
      <c r="A15" s="40" t="str">
        <f>A9</f>
        <v>Block 1</v>
      </c>
      <c r="B15" s="35" t="s">
        <v>31</v>
      </c>
      <c r="C15" s="35" t="s">
        <v>17</v>
      </c>
      <c r="D15" s="80">
        <f t="shared" ref="D15:H18" si="2">IF($C401="$/kwh",D401*100,IF($C401="$/mwh",D401*100/1000,D401))</f>
        <v>2.1191030893293696</v>
      </c>
      <c r="E15" s="80">
        <f t="shared" si="2"/>
        <v>2.5446</v>
      </c>
      <c r="F15" s="80">
        <f t="shared" si="2"/>
        <v>2.7676417132395836</v>
      </c>
      <c r="G15" s="80">
        <f t="shared" si="2"/>
        <v>2.9604536301246367</v>
      </c>
      <c r="H15" s="80">
        <f t="shared" si="2"/>
        <v>3.1666980787984134</v>
      </c>
    </row>
    <row r="16" spans="1:9" s="35" customFormat="1" x14ac:dyDescent="0.3">
      <c r="A16" s="40" t="str">
        <f>A10</f>
        <v>Block 2</v>
      </c>
      <c r="B16" s="35" t="s">
        <v>31</v>
      </c>
      <c r="C16" s="35" t="s">
        <v>17</v>
      </c>
      <c r="D16" s="80">
        <f t="shared" si="2"/>
        <v>0</v>
      </c>
      <c r="E16" s="80">
        <f t="shared" si="2"/>
        <v>0</v>
      </c>
      <c r="F16" s="80">
        <f t="shared" si="2"/>
        <v>0</v>
      </c>
      <c r="G16" s="80">
        <f t="shared" si="2"/>
        <v>0</v>
      </c>
      <c r="H16" s="80">
        <f t="shared" si="2"/>
        <v>0</v>
      </c>
    </row>
    <row r="17" spans="1:8" s="35" customFormat="1" x14ac:dyDescent="0.3">
      <c r="A17" s="40" t="str">
        <f>A11</f>
        <v>Block 3</v>
      </c>
      <c r="B17" s="35" t="s">
        <v>31</v>
      </c>
      <c r="C17" s="35" t="s">
        <v>17</v>
      </c>
      <c r="D17" s="80">
        <f t="shared" si="2"/>
        <v>0</v>
      </c>
      <c r="E17" s="80">
        <f t="shared" si="2"/>
        <v>0</v>
      </c>
      <c r="F17" s="80">
        <f t="shared" si="2"/>
        <v>0</v>
      </c>
      <c r="G17" s="80">
        <f t="shared" si="2"/>
        <v>0</v>
      </c>
      <c r="H17" s="80">
        <f t="shared" si="2"/>
        <v>0</v>
      </c>
    </row>
    <row r="18" spans="1:8" s="35" customFormat="1" x14ac:dyDescent="0.3">
      <c r="A18" s="40" t="str">
        <f>A12</f>
        <v>Block 4</v>
      </c>
      <c r="B18" s="35" t="s">
        <v>31</v>
      </c>
      <c r="C18" s="35" t="s">
        <v>17</v>
      </c>
      <c r="D18" s="80">
        <f t="shared" si="2"/>
        <v>0</v>
      </c>
      <c r="E18" s="80">
        <f t="shared" si="2"/>
        <v>0</v>
      </c>
      <c r="F18" s="80">
        <f t="shared" si="2"/>
        <v>0</v>
      </c>
      <c r="G18" s="80">
        <f t="shared" si="2"/>
        <v>0</v>
      </c>
      <c r="H18" s="80">
        <f t="shared" si="2"/>
        <v>0</v>
      </c>
    </row>
    <row r="19" spans="1:8" s="35" customFormat="1" x14ac:dyDescent="0.3">
      <c r="A19" s="38" t="str">
        <f>Dist3</f>
        <v>Endeavour</v>
      </c>
      <c r="D19" s="73"/>
      <c r="E19" s="73"/>
      <c r="F19" s="73"/>
      <c r="G19" s="73"/>
      <c r="H19" s="73"/>
    </row>
    <row r="20" spans="1:8" s="35" customFormat="1" x14ac:dyDescent="0.3">
      <c r="A20" s="40" t="str">
        <f>A14</f>
        <v>Standing</v>
      </c>
      <c r="B20" s="35" t="s">
        <v>31</v>
      </c>
      <c r="C20" s="35" t="s">
        <v>35</v>
      </c>
      <c r="D20" s="80">
        <f>IF($C410="$/pa",D410*100,D410)</f>
        <v>0</v>
      </c>
      <c r="E20" s="80">
        <f>IF($C410="$/pa",E410*100,E410)</f>
        <v>0</v>
      </c>
      <c r="F20" s="80">
        <f>IF($C410="$/pa",F410*100,F410)</f>
        <v>0</v>
      </c>
      <c r="G20" s="80">
        <f>IF($C410="$/pa",G410*100,G410)</f>
        <v>0</v>
      </c>
      <c r="H20" s="80">
        <f>IF($C410="$/pa",H410*100,H410)</f>
        <v>0</v>
      </c>
    </row>
    <row r="21" spans="1:8" s="35" customFormat="1" x14ac:dyDescent="0.3">
      <c r="A21" s="40" t="str">
        <f>A15</f>
        <v>Block 1</v>
      </c>
      <c r="B21" s="35" t="s">
        <v>31</v>
      </c>
      <c r="C21" s="35" t="s">
        <v>17</v>
      </c>
      <c r="D21" s="80">
        <f t="shared" ref="D21:H24" si="3">IF($C411="$/kwh",D411*100,IF($C411="$/mwh",D411*100/1000,D411))</f>
        <v>1.1617999999999999</v>
      </c>
      <c r="E21" s="80">
        <f t="shared" si="3"/>
        <v>0.92469999999999997</v>
      </c>
      <c r="F21" s="80">
        <f t="shared" si="3"/>
        <v>0.77929999999999999</v>
      </c>
      <c r="G21" s="80">
        <f t="shared" si="3"/>
        <v>0.83359110499011835</v>
      </c>
      <c r="H21" s="80">
        <f t="shared" si="3"/>
        <v>0.89166448135332566</v>
      </c>
    </row>
    <row r="22" spans="1:8" s="35" customFormat="1" x14ac:dyDescent="0.3">
      <c r="A22" s="40" t="str">
        <f>A16</f>
        <v>Block 2</v>
      </c>
      <c r="B22" s="35" t="s">
        <v>31</v>
      </c>
      <c r="C22" s="35" t="s">
        <v>17</v>
      </c>
      <c r="D22" s="80">
        <f t="shared" si="3"/>
        <v>1.5451999999999999</v>
      </c>
      <c r="E22" s="80">
        <f t="shared" si="3"/>
        <v>2.3856999999999999</v>
      </c>
      <c r="F22" s="80">
        <f t="shared" si="3"/>
        <v>3.5926</v>
      </c>
      <c r="G22" s="80">
        <f t="shared" si="3"/>
        <v>3.8428838749999992</v>
      </c>
      <c r="H22" s="80">
        <f t="shared" si="3"/>
        <v>4.1106041520723187</v>
      </c>
    </row>
    <row r="23" spans="1:8" s="35" customFormat="1" x14ac:dyDescent="0.3">
      <c r="A23" s="40" t="str">
        <f>A17</f>
        <v>Block 3</v>
      </c>
      <c r="B23" s="35" t="s">
        <v>31</v>
      </c>
      <c r="C23" s="35" t="s">
        <v>17</v>
      </c>
      <c r="D23" s="80">
        <f t="shared" si="3"/>
        <v>0</v>
      </c>
      <c r="E23" s="80">
        <f t="shared" si="3"/>
        <v>0</v>
      </c>
      <c r="F23" s="80">
        <f t="shared" si="3"/>
        <v>0</v>
      </c>
      <c r="G23" s="80">
        <f t="shared" si="3"/>
        <v>0</v>
      </c>
      <c r="H23" s="80">
        <f t="shared" si="3"/>
        <v>0</v>
      </c>
    </row>
    <row r="24" spans="1:8" s="35" customFormat="1" x14ac:dyDescent="0.3">
      <c r="A24" s="40" t="str">
        <f>A18</f>
        <v>Block 4</v>
      </c>
      <c r="B24" s="35" t="s">
        <v>31</v>
      </c>
      <c r="C24" s="35" t="s">
        <v>17</v>
      </c>
      <c r="D24" s="80">
        <f t="shared" si="3"/>
        <v>0</v>
      </c>
      <c r="E24" s="80">
        <f t="shared" si="3"/>
        <v>0</v>
      </c>
      <c r="F24" s="80">
        <f t="shared" si="3"/>
        <v>0</v>
      </c>
      <c r="G24" s="80">
        <f t="shared" si="3"/>
        <v>0</v>
      </c>
      <c r="H24" s="80">
        <f t="shared" si="3"/>
        <v>0</v>
      </c>
    </row>
    <row r="25" spans="1:8" s="35" customFormat="1" x14ac:dyDescent="0.3"/>
    <row r="26" spans="1:8" s="37" customFormat="1" ht="18.75" x14ac:dyDescent="0.3">
      <c r="A26" s="36" t="s">
        <v>18</v>
      </c>
    </row>
    <row r="27" spans="1:8" s="35" customFormat="1" x14ac:dyDescent="0.3">
      <c r="A27" s="38" t="str">
        <f>Dist1</f>
        <v xml:space="preserve">Ausgrid </v>
      </c>
    </row>
    <row r="28" spans="1:8" s="35" customFormat="1" x14ac:dyDescent="0.3">
      <c r="A28" s="35" t="s">
        <v>24</v>
      </c>
      <c r="B28" s="35" t="s">
        <v>31</v>
      </c>
      <c r="C28" s="35" t="s">
        <v>35</v>
      </c>
      <c r="D28" s="80">
        <f>IF($C421="$/pa",D421*100,D421)-IF('Input Global'!$B$63="yes",D53,0)</f>
        <v>8509.8289999999997</v>
      </c>
      <c r="E28" s="80">
        <f>IF($C421="$/pa",E421*100,E421)-IF('Input Global'!$B$63="yes",E53,0)</f>
        <v>10305.337</v>
      </c>
      <c r="F28" s="80">
        <f>IF($C421="$/pa",F421*100,F421)-IF('Input Global'!$B$63="yes",F53,0)</f>
        <v>13869.999999999998</v>
      </c>
      <c r="G28" s="80">
        <f>IF($C421="$/pa",G421*100,G421)-IF('Input Global'!$B$63="yes",G53,0)</f>
        <v>14107.281024999997</v>
      </c>
      <c r="H28" s="80">
        <f>IF($C421="$/pa",H421*100,H421)-IF('Input Global'!$B$63="yes",H53,0)</f>
        <v>14459.963050624996</v>
      </c>
    </row>
    <row r="29" spans="1:8" s="35" customFormat="1" x14ac:dyDescent="0.3">
      <c r="A29" s="35" t="s">
        <v>25</v>
      </c>
      <c r="B29" s="35" t="s">
        <v>31</v>
      </c>
      <c r="C29" s="35" t="s">
        <v>17</v>
      </c>
      <c r="D29" s="80">
        <f>IF($C422="$/kwh",D422*100,IF($C422="$/mwh",D422*100/1000,D422))-IF('Input Global'!$B$63="yes",D54,0)</f>
        <v>8.4842999999999993</v>
      </c>
      <c r="E29" s="80">
        <f>IF($C422="$/kwh",E422*100,IF($C422="$/mwh",E422*100/1000,E422))-IF('Input Global'!$B$63="yes",E54,0)</f>
        <v>10.315527674090193</v>
      </c>
      <c r="F29" s="80">
        <f>IF($C422="$/kwh",F422*100,IF($C422="$/mwh",F422*100/1000,F422))-IF('Input Global'!$B$63="yes",F54,0)</f>
        <v>12.4</v>
      </c>
      <c r="G29" s="80">
        <f>IF($C422="$/kwh",G422*100,IF($C422="$/mwh",G422*100/1000,G422))-IF('Input Global'!$B$63="yes",G54,0)</f>
        <v>12.612132999999998</v>
      </c>
      <c r="H29" s="80">
        <f>IF($C422="$/kwh",H422*100,IF($C422="$/mwh",H422*100/1000,H422))-IF('Input Global'!$B$63="yes",H54,0)</f>
        <v>12.927436324999997</v>
      </c>
    </row>
    <row r="30" spans="1:8" s="35" customFormat="1" x14ac:dyDescent="0.3">
      <c r="A30" s="35" t="s">
        <v>26</v>
      </c>
      <c r="B30" s="35" t="s">
        <v>31</v>
      </c>
      <c r="C30" s="35" t="s">
        <v>17</v>
      </c>
      <c r="D30" s="80">
        <f>IF($C423="$/kwh",D423*100,IF($C423="$/mwh",D423*100/1000,D423))-IF('Input Global'!$B$63="yes",D55,0)</f>
        <v>4.5055999999999994</v>
      </c>
      <c r="E30" s="80">
        <f>IF($C423="$/kwh",E423*100,IF($C423="$/mwh",E423*100/1000,E423))-IF('Input Global'!$B$63="yes",E55,0)</f>
        <v>4.5450000000000372</v>
      </c>
      <c r="F30" s="80">
        <f>IF($C423="$/kwh",F423*100,IF($C423="$/mwh",F423*100/1000,F423))-IF('Input Global'!$B$63="yes",F55,0)</f>
        <v>2.7844213152419446</v>
      </c>
      <c r="G30" s="80">
        <f>IF($C423="$/kwh",G423*100,IF($C423="$/mwh",G423*100/1000,G423))-IF('Input Global'!$B$63="yes",G55,0)</f>
        <v>2.8320558028924459</v>
      </c>
      <c r="H30" s="80">
        <f>IF($C423="$/kwh",H423*100,IF($C423="$/mwh",H423*100/1000,H423))-IF('Input Global'!$B$63="yes",H55,0)</f>
        <v>2.9028571979647566</v>
      </c>
    </row>
    <row r="31" spans="1:8" s="35" customFormat="1" x14ac:dyDescent="0.3">
      <c r="A31" s="35" t="s">
        <v>27</v>
      </c>
      <c r="B31" s="35" t="s">
        <v>31</v>
      </c>
      <c r="C31" s="35" t="s">
        <v>17</v>
      </c>
      <c r="D31" s="80">
        <f>IF($C424="$/kwh",D424*100,IF($C424="$/mwh",D424*100/1000,D424))-IF('Input Global'!$B$63="yes",D56,0)</f>
        <v>0</v>
      </c>
      <c r="E31" s="80">
        <f>IF($C424="$/kwh",E424*100,IF($C424="$/mwh",E424*100/1000,E424))-IF('Input Global'!$B$63="yes",E56,0)</f>
        <v>0</v>
      </c>
      <c r="F31" s="80">
        <f>IF($C424="$/kwh",F424*100,IF($C424="$/mwh",F424*100/1000,F424))-IF('Input Global'!$B$63="yes",F56,0)</f>
        <v>6.8389738316909643E-14</v>
      </c>
      <c r="G31" s="80">
        <f>IF($C424="$/kwh",G424*100,IF($C424="$/mwh",G424*100/1000,G424))-IF('Input Global'!$B$63="yes",G56,0)</f>
        <v>-0.76052374999993022</v>
      </c>
      <c r="H31" s="80">
        <f>IF($C424="$/kwh",H424*100,IF($C424="$/mwh",H424*100/1000,H424))-IF('Input Global'!$B$63="yes",H56,0)</f>
        <v>-0.67152684374992866</v>
      </c>
    </row>
    <row r="32" spans="1:8" s="35" customFormat="1" x14ac:dyDescent="0.3">
      <c r="A32" s="35" t="s">
        <v>89</v>
      </c>
      <c r="B32" s="35" t="s">
        <v>31</v>
      </c>
      <c r="C32" s="35" t="s">
        <v>17</v>
      </c>
      <c r="D32" s="80">
        <f>IF($C425="$/kwh",D425*100,IF($C425="$/mwh",D425*100/1000,D425))-IF('Input Global'!$B$63="yes",D57,0)</f>
        <v>0</v>
      </c>
      <c r="E32" s="80">
        <f>IF($C425="$/kwh",E425*100,IF($C425="$/mwh",E425*100/1000,E425))-IF('Input Global'!$B$63="yes",E57,0)</f>
        <v>0</v>
      </c>
      <c r="F32" s="80">
        <f>IF($C425="$/kwh",F425*100,IF($C425="$/mwh",F425*100/1000,F425))-IF('Input Global'!$B$63="yes",F57,0)</f>
        <v>0</v>
      </c>
      <c r="G32" s="80">
        <f>IF($C425="$/kwh",G425*100,IF($C425="$/mwh",G425*100/1000,G425))-IF('Input Global'!$B$63="yes",G57,0)</f>
        <v>0</v>
      </c>
      <c r="H32" s="80">
        <f>IF($C425="$/kwh",H425*100,IF($C425="$/mwh",H425*100/1000,H425))-IF('Input Global'!$B$63="yes",H57,0)</f>
        <v>0</v>
      </c>
    </row>
    <row r="33" spans="1:8" s="35" customFormat="1" x14ac:dyDescent="0.3">
      <c r="A33" s="38" t="str">
        <f>Dist2</f>
        <v>Essential</v>
      </c>
      <c r="D33" s="39"/>
      <c r="E33" s="39"/>
      <c r="F33" s="39"/>
      <c r="G33" s="39"/>
      <c r="H33" s="39"/>
    </row>
    <row r="34" spans="1:8" s="35" customFormat="1" x14ac:dyDescent="0.3">
      <c r="A34" s="35" t="str">
        <f>A28</f>
        <v>Standing</v>
      </c>
      <c r="B34" s="35" t="s">
        <v>31</v>
      </c>
      <c r="C34" s="35" t="s">
        <v>35</v>
      </c>
      <c r="D34" s="80">
        <f>IF($C430="$/pa",D430*100,D430)-IF('Input Global'!$B$63="yes",D59,0)</f>
        <v>20071.350000000002</v>
      </c>
      <c r="E34" s="80">
        <f>IF($C430="$/pa",E430*100,E430)-IF('Input Global'!$B$63="yes",E59,0)</f>
        <v>25342.080000000002</v>
      </c>
      <c r="F34" s="80">
        <f>IF($C430="$/pa",F430*100,F430)-IF('Input Global'!$B$63="yes",F59,0)</f>
        <v>31332.947711999997</v>
      </c>
      <c r="G34" s="80">
        <f>IF($C430="$/pa",G430*100,G430)-IF('Input Global'!$B$63="yes",G59,0)</f>
        <v>30834.83217574847</v>
      </c>
      <c r="H34" s="80">
        <f>IF($C430="$/pa",H430*100,H430)-IF('Input Global'!$B$63="yes",H59,0)</f>
        <v>31605.702980142178</v>
      </c>
    </row>
    <row r="35" spans="1:8" s="35" customFormat="1" x14ac:dyDescent="0.3">
      <c r="A35" s="35" t="str">
        <f>A29</f>
        <v>Block 1</v>
      </c>
      <c r="B35" s="35" t="s">
        <v>31</v>
      </c>
      <c r="C35" s="35" t="s">
        <v>17</v>
      </c>
      <c r="D35" s="80">
        <f>IF($C431="$/kwh",D431*100,IF($C431="$/mwh",D431*100/1000,D431))-IF('Input Global'!$B$63="yes",D60,0)</f>
        <v>9.950300000000043</v>
      </c>
      <c r="E35" s="80">
        <f>IF($C431="$/kwh",E431*100,IF($C431="$/mwh",E431*100/1000,E431))-IF('Input Global'!$B$63="yes",E60,0)</f>
        <v>12.0398</v>
      </c>
      <c r="F35" s="80">
        <f>IF($C431="$/kwh",F431*100,IF($C431="$/mwh",F431*100/1000,F431))-IF('Input Global'!$B$63="yes",F60,0)</f>
        <v>14.284018720000001</v>
      </c>
      <c r="G35" s="80">
        <f>IF($C431="$/kwh",G431*100,IF($C431="$/mwh",G431*100/1000,G431))-IF('Input Global'!$B$63="yes",G60,0)</f>
        <v>13.976463483558323</v>
      </c>
      <c r="H35" s="80">
        <f>IF($C431="$/kwh",H431*100,IF($C431="$/mwh",H431*100/1000,H431))-IF('Input Global'!$B$63="yes",H60,0)</f>
        <v>14.335797103457102</v>
      </c>
    </row>
    <row r="36" spans="1:8" s="35" customFormat="1" x14ac:dyDescent="0.3">
      <c r="A36" s="35" t="str">
        <f>A30</f>
        <v>Block 2</v>
      </c>
      <c r="B36" s="35" t="s">
        <v>31</v>
      </c>
      <c r="C36" s="35" t="s">
        <v>17</v>
      </c>
      <c r="D36" s="80">
        <f>IF($C432="$/kwh",D432*100,IF($C432="$/mwh",D432*100/1000,D432))-IF('Input Global'!$B$63="yes",D61,0)</f>
        <v>0</v>
      </c>
      <c r="E36" s="80">
        <f>IF($C432="$/kwh",E432*100,IF($C432="$/mwh",E432*100/1000,E432))-IF('Input Global'!$B$63="yes",E61,0)</f>
        <v>0</v>
      </c>
      <c r="F36" s="80">
        <f>IF($C432="$/kwh",F432*100,IF($C432="$/mwh",F432*100/1000,F432))-IF('Input Global'!$B$63="yes",F61,0)</f>
        <v>0</v>
      </c>
      <c r="G36" s="80">
        <f>IF($C432="$/kwh",G432*100,IF($C432="$/mwh",G432*100/1000,G432))-IF('Input Global'!$B$63="yes",G61,0)</f>
        <v>0</v>
      </c>
      <c r="H36" s="80">
        <f>IF($C432="$/kwh",H432*100,IF($C432="$/mwh",H432*100/1000,H432))-IF('Input Global'!$B$63="yes",H61,0)</f>
        <v>0</v>
      </c>
    </row>
    <row r="37" spans="1:8" s="35" customFormat="1" x14ac:dyDescent="0.3">
      <c r="A37" s="35" t="str">
        <f>A31</f>
        <v>Block 3</v>
      </c>
      <c r="B37" s="35" t="s">
        <v>31</v>
      </c>
      <c r="C37" s="35" t="s">
        <v>17</v>
      </c>
      <c r="D37" s="80">
        <f>IF($C433="$/kwh",D433*100,IF($C433="$/mwh",D433*100/1000,D433))-IF('Input Global'!$B$63="yes",D62,0)</f>
        <v>0</v>
      </c>
      <c r="E37" s="80">
        <f>IF($C433="$/kwh",E433*100,IF($C433="$/mwh",E433*100/1000,E433))-IF('Input Global'!$B$63="yes",E62,0)</f>
        <v>0</v>
      </c>
      <c r="F37" s="80">
        <f>IF($C433="$/kwh",F433*100,IF($C433="$/mwh",F433*100/1000,F433))-IF('Input Global'!$B$63="yes",F62,0)</f>
        <v>0</v>
      </c>
      <c r="G37" s="80">
        <f>IF($C433="$/kwh",G433*100,IF($C433="$/mwh",G433*100/1000,G433))-IF('Input Global'!$B$63="yes",G62,0)</f>
        <v>0</v>
      </c>
      <c r="H37" s="80">
        <f>IF($C433="$/kwh",H433*100,IF($C433="$/mwh",H433*100/1000,H433))-IF('Input Global'!$B$63="yes",H62,0)</f>
        <v>0</v>
      </c>
    </row>
    <row r="38" spans="1:8" s="35" customFormat="1" x14ac:dyDescent="0.3">
      <c r="A38" s="35" t="str">
        <f>A32</f>
        <v>Block 4</v>
      </c>
      <c r="B38" s="35" t="s">
        <v>31</v>
      </c>
      <c r="C38" s="35" t="s">
        <v>17</v>
      </c>
      <c r="D38" s="80">
        <f>IF($C434="$/kwh",D434*100,IF($C434="$/mwh",D434*100/1000,D434))-IF('Input Global'!$B$63="yes",D63,0)</f>
        <v>0</v>
      </c>
      <c r="E38" s="80">
        <f>IF($C434="$/kwh",E434*100,IF($C434="$/mwh",E434*100/1000,E434))-IF('Input Global'!$B$63="yes",E63,0)</f>
        <v>0</v>
      </c>
      <c r="F38" s="80">
        <f>IF($C434="$/kwh",F434*100,IF($C434="$/mwh",F434*100/1000,F434))-IF('Input Global'!$B$63="yes",F63,0)</f>
        <v>0</v>
      </c>
      <c r="G38" s="80">
        <f>IF($C434="$/kwh",G434*100,IF($C434="$/mwh",G434*100/1000,G434))-IF('Input Global'!$B$63="yes",G63,0)</f>
        <v>0</v>
      </c>
      <c r="H38" s="80">
        <f>IF($C434="$/kwh",H434*100,IF($C434="$/mwh",H434*100/1000,H434))-IF('Input Global'!$B$63="yes",H63,0)</f>
        <v>0</v>
      </c>
    </row>
    <row r="39" spans="1:8" s="35" customFormat="1" x14ac:dyDescent="0.3">
      <c r="A39" s="38" t="str">
        <f>Dist3</f>
        <v>Endeavour</v>
      </c>
      <c r="D39" s="39"/>
      <c r="E39" s="39"/>
      <c r="F39" s="39"/>
      <c r="G39" s="39"/>
      <c r="H39" s="39"/>
    </row>
    <row r="40" spans="1:8" s="35" customFormat="1" x14ac:dyDescent="0.3">
      <c r="A40" s="35" t="str">
        <f>A34</f>
        <v>Standing</v>
      </c>
      <c r="B40" s="35" t="s">
        <v>31</v>
      </c>
      <c r="C40" s="35" t="s">
        <v>35</v>
      </c>
      <c r="D40" s="80">
        <f>IF($C439="$/pa",D439*100,D439)-IF('Input Global'!$B$63="yes",D65,0)</f>
        <v>9845</v>
      </c>
      <c r="E40" s="80">
        <f>IF($C439="$/pa",E439*100,E439)-IF('Input Global'!$B$63="yes",E65,0)</f>
        <v>11346</v>
      </c>
      <c r="F40" s="80">
        <f>IF($C439="$/pa",F439*100,F439)-IF('Input Global'!$B$63="yes",F65,0)</f>
        <v>12775</v>
      </c>
      <c r="G40" s="80">
        <f>IF($C439="$/pa",G439*100,G439)-IF('Input Global'!$B$63="yes",G65,0)</f>
        <v>12869.151750000001</v>
      </c>
      <c r="H40" s="80">
        <f>IF($C439="$/pa",H439*100,H439)-IF('Input Global'!$B$63="yes",H65,0)</f>
        <v>13190.880543749998</v>
      </c>
    </row>
    <row r="41" spans="1:8" s="35" customFormat="1" x14ac:dyDescent="0.3">
      <c r="A41" s="35" t="str">
        <f>A35</f>
        <v>Block 1</v>
      </c>
      <c r="B41" s="35" t="s">
        <v>31</v>
      </c>
      <c r="C41" s="35" t="s">
        <v>17</v>
      </c>
      <c r="D41" s="80">
        <f>IF($C440="$/kwh",D440*100,IF($C440="$/mwh",D440*100/1000,D440))-IF('Input Global'!$B$63="yes",D66,0)</f>
        <v>7.8685999999999989</v>
      </c>
      <c r="E41" s="80">
        <f>IF($C440="$/kwh",E440*100,IF($C440="$/mwh",E440*100/1000,E440))-IF('Input Global'!$B$63="yes",E66,0)</f>
        <v>9.2738999999999994</v>
      </c>
      <c r="F41" s="80">
        <f>IF($C440="$/kwh",F440*100,IF($C440="$/mwh",F440*100/1000,F440))-IF('Input Global'!$B$63="yes",F66,0)</f>
        <v>6.0828000000000015</v>
      </c>
      <c r="G41" s="80">
        <f>IF($C440="$/kwh",G440*100,IF($C440="$/mwh",G440*100/1000,G440))-IF('Input Global'!$B$63="yes",G66,0)</f>
        <v>5.2372185760000001</v>
      </c>
      <c r="H41" s="80">
        <f>IF($C440="$/kwh",H440*100,IF($C440="$/mwh",H440*100/1000,H440))-IF('Input Global'!$B$63="yes",H66,0)</f>
        <v>5.4891819603999998</v>
      </c>
    </row>
    <row r="42" spans="1:8" s="35" customFormat="1" x14ac:dyDescent="0.3">
      <c r="A42" s="35" t="str">
        <f>A36</f>
        <v>Block 2</v>
      </c>
      <c r="B42" s="35" t="s">
        <v>31</v>
      </c>
      <c r="C42" s="35" t="s">
        <v>17</v>
      </c>
      <c r="D42" s="80">
        <f>IF($C441="$/kwh",D441*100,IF($C441="$/mwh",D441*100/1000,D441))-IF('Input Global'!$B$63="yes",D67,0)</f>
        <v>9.497300000000001</v>
      </c>
      <c r="E42" s="80">
        <f>IF($C441="$/kwh",E441*100,IF($C441="$/mwh",E441*100/1000,E441))-IF('Input Global'!$B$63="yes",E67,0)</f>
        <v>10.940800000000001</v>
      </c>
      <c r="F42" s="80">
        <f>IF($C441="$/kwh",F441*100,IF($C441="$/mwh",F441*100/1000,F441))-IF('Input Global'!$B$63="yes",F67,0)</f>
        <v>7.0442000000000009</v>
      </c>
      <c r="G42" s="80">
        <f>IF($C441="$/kwh",G441*100,IF($C441="$/mwh",G441*100/1000,G441))-IF('Input Global'!$B$63="yes",G67,0)</f>
        <v>6.2057040940000014</v>
      </c>
      <c r="H42" s="80">
        <f>IF($C441="$/kwh",H441*100,IF($C441="$/mwh",H441*100/1000,H441))-IF('Input Global'!$B$63="yes",H67,0)</f>
        <v>6.4818796163499997</v>
      </c>
    </row>
    <row r="43" spans="1:8" s="35" customFormat="1" x14ac:dyDescent="0.3">
      <c r="A43" s="35" t="str">
        <f>A37</f>
        <v>Block 3</v>
      </c>
      <c r="B43" s="35" t="s">
        <v>31</v>
      </c>
      <c r="C43" s="35" t="s">
        <v>17</v>
      </c>
      <c r="D43" s="80">
        <f>IF($C442="$/kwh",D442*100,IF($C442="$/mwh",D442*100/1000,D442))-IF('Input Global'!$B$63="yes",D68,0)</f>
        <v>0</v>
      </c>
      <c r="E43" s="80">
        <f>IF($C442="$/kwh",E442*100,IF($C442="$/mwh",E442*100/1000,E442))-IF('Input Global'!$B$63="yes",E68,0)</f>
        <v>0</v>
      </c>
      <c r="F43" s="80">
        <f>IF($C442="$/kwh",F442*100,IF($C442="$/mwh",F442*100/1000,F442))-IF('Input Global'!$B$63="yes",F68,0)</f>
        <v>0</v>
      </c>
      <c r="G43" s="80">
        <f>IF($C442="$/kwh",G442*100,IF($C442="$/mwh",G442*100/1000,G442))-IF('Input Global'!$B$63="yes",G68,0)</f>
        <v>0</v>
      </c>
      <c r="H43" s="80">
        <f>IF($C442="$/kwh",H442*100,IF($C442="$/mwh",H442*100/1000,H442))-IF('Input Global'!$B$63="yes",H68,0)</f>
        <v>0</v>
      </c>
    </row>
    <row r="44" spans="1:8" s="35" customFormat="1" x14ac:dyDescent="0.3">
      <c r="A44" s="35" t="str">
        <f>A38</f>
        <v>Block 4</v>
      </c>
      <c r="B44" s="35" t="s">
        <v>31</v>
      </c>
      <c r="C44" s="35" t="s">
        <v>17</v>
      </c>
      <c r="D44" s="80">
        <f>IF($C443="$/kwh",D443*100,IF($C443="$/mwh",D443*100/1000,D443))-IF('Input Global'!$B$63="yes",D69,0)</f>
        <v>0</v>
      </c>
      <c r="E44" s="80">
        <f>IF($C443="$/kwh",E443*100,IF($C443="$/mwh",E443*100/1000,E443))-IF('Input Global'!$B$63="yes",E69,0)</f>
        <v>0</v>
      </c>
      <c r="F44" s="80">
        <f>IF($C443="$/kwh",F443*100,IF($C443="$/mwh",F443*100/1000,F443))-IF('Input Global'!$B$63="yes",F69,0)</f>
        <v>0</v>
      </c>
      <c r="G44" s="80">
        <f>IF($C443="$/kwh",G443*100,IF($C443="$/mwh",G443*100/1000,G443))-IF('Input Global'!$B$63="yes",G69,0)</f>
        <v>0</v>
      </c>
      <c r="H44" s="80">
        <f>IF($C443="$/kwh",H443*100,IF($C443="$/mwh",H443*100/1000,H443))-IF('Input Global'!$B$63="yes",H69,0)</f>
        <v>0</v>
      </c>
    </row>
    <row r="45" spans="1:8" s="35" customFormat="1" hidden="1" x14ac:dyDescent="0.3">
      <c r="D45" s="39"/>
      <c r="E45" s="39"/>
      <c r="F45" s="39"/>
      <c r="G45" s="39"/>
      <c r="H45" s="39"/>
    </row>
    <row r="46" spans="1:8" s="35" customFormat="1" hidden="1" x14ac:dyDescent="0.3">
      <c r="A46" s="21" t="s">
        <v>91</v>
      </c>
      <c r="D46" s="39"/>
      <c r="E46" s="39"/>
      <c r="F46" s="39"/>
      <c r="G46" s="39"/>
      <c r="H46" s="39"/>
    </row>
    <row r="47" spans="1:8" s="35" customFormat="1" hidden="1" x14ac:dyDescent="0.3">
      <c r="A47" s="35" t="str">
        <f>Dist1</f>
        <v xml:space="preserve">Ausgrid </v>
      </c>
      <c r="B47" s="35" t="s">
        <v>31</v>
      </c>
      <c r="C47" s="35" t="s">
        <v>35</v>
      </c>
      <c r="D47" s="81">
        <f>IF($C449="$/pa",D449*100,D449)</f>
        <v>0</v>
      </c>
      <c r="E47" s="81">
        <f>IF($C449="$/pa",E449*100,E449)</f>
        <v>0</v>
      </c>
      <c r="F47" s="81">
        <f>IF($C449="$/pa",F449*100,F449)</f>
        <v>0</v>
      </c>
      <c r="G47" s="81">
        <f>IF($C449="$/pa",G449*100,G449)</f>
        <v>0</v>
      </c>
      <c r="H47" s="81">
        <f>IF($C449="$/pa",H449*100,H449)</f>
        <v>0</v>
      </c>
    </row>
    <row r="48" spans="1:8" s="35" customFormat="1" hidden="1" x14ac:dyDescent="0.3">
      <c r="A48" s="35" t="str">
        <f>Dist2</f>
        <v>Essential</v>
      </c>
      <c r="B48" s="35" t="s">
        <v>31</v>
      </c>
      <c r="C48" s="35" t="s">
        <v>35</v>
      </c>
      <c r="D48" s="81">
        <f>IF($C452="$/pa",D452*100,D452)</f>
        <v>0</v>
      </c>
      <c r="E48" s="81">
        <f>IF($C452="$/pa",E452*100,E452)</f>
        <v>0</v>
      </c>
      <c r="F48" s="81">
        <f>IF($C452="$/pa",F452*100,F452)</f>
        <v>0</v>
      </c>
      <c r="G48" s="81">
        <f>IF($C452="$/pa",G452*100,G452)</f>
        <v>0</v>
      </c>
      <c r="H48" s="81">
        <f>IF($C452="$/pa",H452*100,H452)</f>
        <v>0</v>
      </c>
    </row>
    <row r="49" spans="1:8" s="35" customFormat="1" hidden="1" x14ac:dyDescent="0.3">
      <c r="A49" s="35" t="str">
        <f>Dist3</f>
        <v>Endeavour</v>
      </c>
      <c r="B49" s="35" t="s">
        <v>31</v>
      </c>
      <c r="C49" s="35" t="s">
        <v>35</v>
      </c>
      <c r="D49" s="81">
        <f>IF($C455="$/pa",D455*100,D455)</f>
        <v>0</v>
      </c>
      <c r="E49" s="81">
        <f>IF($C455="$/pa",E455*100,E455)</f>
        <v>0</v>
      </c>
      <c r="F49" s="81">
        <f>IF($C455="$/pa",F455*100,F455)</f>
        <v>0</v>
      </c>
      <c r="G49" s="81">
        <f>IF($C455="$/pa",G455*100,G455)</f>
        <v>0</v>
      </c>
      <c r="H49" s="81">
        <f>IF($C455="$/pa",H455*100,H455)</f>
        <v>0</v>
      </c>
    </row>
    <row r="50" spans="1:8" s="35" customFormat="1" x14ac:dyDescent="0.3">
      <c r="D50" s="39"/>
      <c r="E50" s="39"/>
      <c r="F50" s="39"/>
      <c r="G50" s="39"/>
      <c r="H50" s="39"/>
    </row>
    <row r="51" spans="1:8" s="35" customFormat="1" x14ac:dyDescent="0.3">
      <c r="A51" s="21" t="s">
        <v>19</v>
      </c>
      <c r="D51" s="39"/>
      <c r="E51" s="39"/>
      <c r="F51" s="39"/>
      <c r="G51" s="39"/>
      <c r="H51" s="39"/>
    </row>
    <row r="52" spans="1:8" s="35" customFormat="1" x14ac:dyDescent="0.3">
      <c r="A52" s="38" t="str">
        <f>Dist1</f>
        <v xml:space="preserve">Ausgrid </v>
      </c>
      <c r="D52" s="39"/>
      <c r="E52" s="39"/>
      <c r="F52" s="39"/>
      <c r="G52" s="39"/>
      <c r="H52" s="39"/>
    </row>
    <row r="53" spans="1:8" s="35" customFormat="1" x14ac:dyDescent="0.3">
      <c r="A53" s="40" t="s">
        <v>24</v>
      </c>
      <c r="B53" s="35" t="s">
        <v>31</v>
      </c>
      <c r="C53" s="35" t="s">
        <v>35</v>
      </c>
      <c r="D53" s="80">
        <f>IF($C460="$/pa",D460*100,D460)</f>
        <v>0</v>
      </c>
      <c r="E53" s="106">
        <f t="shared" ref="E53:H53" si="4">IF($C460="$/pa",E460*100,E460)</f>
        <v>0</v>
      </c>
      <c r="F53" s="106">
        <f t="shared" si="4"/>
        <v>0</v>
      </c>
      <c r="G53" s="106">
        <f t="shared" si="4"/>
        <v>0</v>
      </c>
      <c r="H53" s="106">
        <f t="shared" si="4"/>
        <v>0</v>
      </c>
    </row>
    <row r="54" spans="1:8" s="35" customFormat="1" x14ac:dyDescent="0.3">
      <c r="A54" s="40" t="s">
        <v>25</v>
      </c>
      <c r="B54" s="35" t="s">
        <v>31</v>
      </c>
      <c r="C54" s="35" t="s">
        <v>17</v>
      </c>
      <c r="D54" s="80">
        <f>IF($C461="$/mwh",D461*100/1000,IF($C461="$/kwh",D461*100,D461))</f>
        <v>0.17699999999999999</v>
      </c>
      <c r="E54" s="80">
        <f>IF($C461="$/mwh",E461*100/1000,IF($C461="$/kwh",E461*100,E461))</f>
        <v>0.19817619657770696</v>
      </c>
      <c r="F54" s="80">
        <f>IF($C461="$/mwh",F461*100/1000,IF($C461="$/kwh",F461*100,F461))</f>
        <v>0</v>
      </c>
      <c r="G54" s="80">
        <f>IF($C461="$/mwh",G461*100/1000,IF($C461="$/kwh",G461*100,G461))</f>
        <v>0</v>
      </c>
      <c r="H54" s="80">
        <f>IF($C461="$/mwh",H461*100/1000,IF($C461="$/kwh",H461*100,H461))</f>
        <v>0</v>
      </c>
    </row>
    <row r="55" spans="1:8" s="35" customFormat="1" x14ac:dyDescent="0.3">
      <c r="A55" s="40" t="s">
        <v>26</v>
      </c>
      <c r="B55" s="35" t="s">
        <v>31</v>
      </c>
      <c r="C55" s="35" t="s">
        <v>17</v>
      </c>
      <c r="D55" s="80">
        <f t="shared" ref="D55:H55" si="5">IF($C462="$/mwh",D462*100/1000,IF($C462="$/kwh",D462*100,D462))</f>
        <v>0.17699999999999999</v>
      </c>
      <c r="E55" s="80">
        <f t="shared" si="5"/>
        <v>0.19817619657770696</v>
      </c>
      <c r="F55" s="80">
        <f t="shared" si="5"/>
        <v>0</v>
      </c>
      <c r="G55" s="80">
        <f t="shared" si="5"/>
        <v>0</v>
      </c>
      <c r="H55" s="80">
        <f t="shared" si="5"/>
        <v>0</v>
      </c>
    </row>
    <row r="56" spans="1:8" s="35" customFormat="1" x14ac:dyDescent="0.3">
      <c r="A56" s="40" t="s">
        <v>27</v>
      </c>
      <c r="B56" s="35" t="s">
        <v>31</v>
      </c>
      <c r="C56" s="35" t="s">
        <v>17</v>
      </c>
      <c r="D56" s="80">
        <f t="shared" ref="D56:H57" si="6">IF($C463="$/mwh",D463*100/1000,IF($C463="$/kwh",D463*100,D463))</f>
        <v>0</v>
      </c>
      <c r="E56" s="80">
        <f t="shared" si="6"/>
        <v>0</v>
      </c>
      <c r="F56" s="80">
        <f t="shared" si="6"/>
        <v>3.5000000000000004</v>
      </c>
      <c r="G56" s="80">
        <f t="shared" si="6"/>
        <v>4.3204000000000002</v>
      </c>
      <c r="H56" s="80">
        <f t="shared" si="6"/>
        <v>4.3204000000000002</v>
      </c>
    </row>
    <row r="57" spans="1:8" s="35" customFormat="1" x14ac:dyDescent="0.3">
      <c r="A57" s="40" t="s">
        <v>89</v>
      </c>
      <c r="B57" s="35" t="s">
        <v>31</v>
      </c>
      <c r="C57" s="35" t="s">
        <v>17</v>
      </c>
      <c r="D57" s="80">
        <f t="shared" si="6"/>
        <v>0</v>
      </c>
      <c r="E57" s="80">
        <f t="shared" si="6"/>
        <v>0</v>
      </c>
      <c r="F57" s="80">
        <f t="shared" si="6"/>
        <v>0</v>
      </c>
      <c r="G57" s="80">
        <f t="shared" si="6"/>
        <v>0</v>
      </c>
      <c r="H57" s="80">
        <f t="shared" si="6"/>
        <v>0</v>
      </c>
    </row>
    <row r="58" spans="1:8" s="35" customFormat="1" x14ac:dyDescent="0.3">
      <c r="A58" s="38" t="str">
        <f>Dist2</f>
        <v>Essential</v>
      </c>
      <c r="D58" s="39"/>
      <c r="E58" s="39"/>
      <c r="F58" s="39"/>
      <c r="G58" s="39"/>
      <c r="H58" s="39"/>
    </row>
    <row r="59" spans="1:8" s="35" customFormat="1" x14ac:dyDescent="0.3">
      <c r="A59" s="40" t="str">
        <f>A53</f>
        <v>Standing</v>
      </c>
      <c r="B59" s="35" t="s">
        <v>31</v>
      </c>
      <c r="C59" s="35" t="s">
        <v>35</v>
      </c>
      <c r="D59" s="80">
        <f>IF($C466="$/pa",D466*100,D466)</f>
        <v>0</v>
      </c>
      <c r="E59" s="106">
        <f t="shared" ref="E59:H59" si="7">IF($C466="$/pa",E466*100,E466)</f>
        <v>0</v>
      </c>
      <c r="F59" s="106">
        <f t="shared" si="7"/>
        <v>0</v>
      </c>
      <c r="G59" s="106">
        <f t="shared" si="7"/>
        <v>0</v>
      </c>
      <c r="H59" s="106">
        <f t="shared" si="7"/>
        <v>0</v>
      </c>
    </row>
    <row r="60" spans="1:8" s="35" customFormat="1" x14ac:dyDescent="0.3">
      <c r="A60" s="40" t="str">
        <f>A54</f>
        <v>Block 1</v>
      </c>
      <c r="B60" s="35" t="s">
        <v>31</v>
      </c>
      <c r="C60" s="35" t="s">
        <v>17</v>
      </c>
      <c r="D60" s="80">
        <f t="shared" ref="D60:H60" si="8">IF($C467="$/mwh",D467*100/1000,IF($C467="$/kwh",D467*100,D467))</f>
        <v>0.16792624773178752</v>
      </c>
      <c r="E60" s="80">
        <f t="shared" si="8"/>
        <v>0.1794</v>
      </c>
      <c r="F60" s="80">
        <f t="shared" si="8"/>
        <v>0.32151758943047254</v>
      </c>
      <c r="G60" s="80">
        <f t="shared" si="8"/>
        <v>0.39688131239297536</v>
      </c>
      <c r="H60" s="80">
        <f t="shared" si="8"/>
        <v>0.39688131239297536</v>
      </c>
    </row>
    <row r="61" spans="1:8" s="35" customFormat="1" x14ac:dyDescent="0.3">
      <c r="A61" s="40" t="str">
        <f>A55</f>
        <v>Block 2</v>
      </c>
      <c r="B61" s="35" t="s">
        <v>31</v>
      </c>
      <c r="C61" s="35" t="s">
        <v>17</v>
      </c>
      <c r="D61" s="80">
        <f t="shared" ref="D61:H61" si="9">IF($C468="$/mwh",D468*100/1000,IF($C468="$/kwh",D468*100,D468))</f>
        <v>0</v>
      </c>
      <c r="E61" s="80">
        <f t="shared" si="9"/>
        <v>0</v>
      </c>
      <c r="F61" s="80">
        <f t="shared" si="9"/>
        <v>0</v>
      </c>
      <c r="G61" s="80">
        <f t="shared" si="9"/>
        <v>0</v>
      </c>
      <c r="H61" s="80">
        <f t="shared" si="9"/>
        <v>0</v>
      </c>
    </row>
    <row r="62" spans="1:8" s="35" customFormat="1" x14ac:dyDescent="0.3">
      <c r="A62" s="40" t="str">
        <f>A56</f>
        <v>Block 3</v>
      </c>
      <c r="B62" s="35" t="s">
        <v>31</v>
      </c>
      <c r="C62" s="35" t="s">
        <v>17</v>
      </c>
      <c r="D62" s="80">
        <f t="shared" ref="D62:H63" si="10">IF($C469="$/mwh",D469*100/1000,IF($C469="$/kwh",D469*100,D469))</f>
        <v>0</v>
      </c>
      <c r="E62" s="80">
        <f t="shared" si="10"/>
        <v>0</v>
      </c>
      <c r="F62" s="80">
        <f t="shared" si="10"/>
        <v>0</v>
      </c>
      <c r="G62" s="80">
        <f t="shared" si="10"/>
        <v>0</v>
      </c>
      <c r="H62" s="80">
        <f t="shared" si="10"/>
        <v>0</v>
      </c>
    </row>
    <row r="63" spans="1:8" s="35" customFormat="1" x14ac:dyDescent="0.3">
      <c r="A63" s="40" t="str">
        <f>A57</f>
        <v>Block 4</v>
      </c>
      <c r="B63" s="35" t="s">
        <v>31</v>
      </c>
      <c r="C63" s="35" t="s">
        <v>17</v>
      </c>
      <c r="D63" s="80">
        <f t="shared" si="10"/>
        <v>0</v>
      </c>
      <c r="E63" s="80">
        <f t="shared" si="10"/>
        <v>0</v>
      </c>
      <c r="F63" s="80">
        <f t="shared" si="10"/>
        <v>0</v>
      </c>
      <c r="G63" s="80">
        <f t="shared" si="10"/>
        <v>0</v>
      </c>
      <c r="H63" s="80">
        <f t="shared" si="10"/>
        <v>0</v>
      </c>
    </row>
    <row r="64" spans="1:8" s="35" customFormat="1" x14ac:dyDescent="0.3">
      <c r="A64" s="38" t="str">
        <f>Dist3</f>
        <v>Endeavour</v>
      </c>
      <c r="D64" s="39"/>
      <c r="E64" s="39"/>
      <c r="F64" s="39"/>
      <c r="G64" s="39"/>
      <c r="H64" s="39"/>
    </row>
    <row r="65" spans="1:8" s="35" customFormat="1" x14ac:dyDescent="0.3">
      <c r="A65" s="40" t="str">
        <f>A59</f>
        <v>Standing</v>
      </c>
      <c r="B65" s="35" t="s">
        <v>31</v>
      </c>
      <c r="C65" s="35" t="s">
        <v>35</v>
      </c>
      <c r="D65" s="80">
        <f>IF($C472="$/pa",D472*100,D472)</f>
        <v>0</v>
      </c>
      <c r="E65" s="106">
        <f t="shared" ref="E65:H65" si="11">IF($C472="$/pa",E472*100,E472)</f>
        <v>0</v>
      </c>
      <c r="F65" s="106">
        <f t="shared" si="11"/>
        <v>0</v>
      </c>
      <c r="G65" s="106">
        <f t="shared" si="11"/>
        <v>0</v>
      </c>
      <c r="H65" s="106">
        <f t="shared" si="11"/>
        <v>0</v>
      </c>
    </row>
    <row r="66" spans="1:8" s="35" customFormat="1" x14ac:dyDescent="0.3">
      <c r="A66" s="40" t="str">
        <f>A60</f>
        <v>Block 1</v>
      </c>
      <c r="B66" s="35" t="s">
        <v>31</v>
      </c>
      <c r="C66" s="35" t="s">
        <v>17</v>
      </c>
      <c r="D66" s="80">
        <f t="shared" ref="D66:H66" si="12">IF($C473="$/mwh",D473*100/1000,IF($C473="$/kwh",D473*100,D473))</f>
        <v>0.2278</v>
      </c>
      <c r="E66" s="80">
        <f t="shared" si="12"/>
        <v>0.22939999999999999</v>
      </c>
      <c r="F66" s="80">
        <f t="shared" si="12"/>
        <v>3.9219999999999997</v>
      </c>
      <c r="G66" s="80">
        <f t="shared" si="12"/>
        <v>4.8413167999999995</v>
      </c>
      <c r="H66" s="80">
        <f t="shared" si="12"/>
        <v>4.8413167999999995</v>
      </c>
    </row>
    <row r="67" spans="1:8" s="35" customFormat="1" x14ac:dyDescent="0.3">
      <c r="A67" s="40" t="str">
        <f>A61</f>
        <v>Block 2</v>
      </c>
      <c r="B67" s="35" t="s">
        <v>31</v>
      </c>
      <c r="C67" s="35" t="s">
        <v>17</v>
      </c>
      <c r="D67" s="80">
        <f t="shared" ref="D67:H67" si="13">IF($C474="$/mwh",D474*100/1000,IF($C474="$/kwh",D474*100,D474))</f>
        <v>0.2278</v>
      </c>
      <c r="E67" s="80">
        <f t="shared" si="13"/>
        <v>0.22950000000000001</v>
      </c>
      <c r="F67" s="80">
        <f t="shared" si="13"/>
        <v>3.9219999999999997</v>
      </c>
      <c r="G67" s="80">
        <f t="shared" si="13"/>
        <v>4.8413167999999995</v>
      </c>
      <c r="H67" s="80">
        <f t="shared" si="13"/>
        <v>4.8413167999999995</v>
      </c>
    </row>
    <row r="68" spans="1:8" s="35" customFormat="1" x14ac:dyDescent="0.3">
      <c r="A68" s="40" t="str">
        <f>A62</f>
        <v>Block 3</v>
      </c>
      <c r="B68" s="35" t="s">
        <v>31</v>
      </c>
      <c r="C68" s="35" t="s">
        <v>17</v>
      </c>
      <c r="D68" s="80">
        <f t="shared" ref="D68:H69" si="14">IF($C475="$/mwh",D475*100/1000,IF($C475="$/kwh",D475*100,D475))</f>
        <v>0</v>
      </c>
      <c r="E68" s="80">
        <f t="shared" si="14"/>
        <v>0</v>
      </c>
      <c r="F68" s="80">
        <f t="shared" si="14"/>
        <v>0</v>
      </c>
      <c r="G68" s="80">
        <f t="shared" si="14"/>
        <v>0</v>
      </c>
      <c r="H68" s="80">
        <f t="shared" si="14"/>
        <v>0</v>
      </c>
    </row>
    <row r="69" spans="1:8" s="35" customFormat="1" x14ac:dyDescent="0.3">
      <c r="A69" s="40" t="str">
        <f>A63</f>
        <v>Block 4</v>
      </c>
      <c r="B69" s="35" t="s">
        <v>31</v>
      </c>
      <c r="C69" s="35" t="s">
        <v>17</v>
      </c>
      <c r="D69" s="80">
        <f t="shared" si="14"/>
        <v>0</v>
      </c>
      <c r="E69" s="80">
        <f t="shared" si="14"/>
        <v>0</v>
      </c>
      <c r="F69" s="80">
        <f t="shared" si="14"/>
        <v>0</v>
      </c>
      <c r="G69" s="80">
        <f t="shared" si="14"/>
        <v>0</v>
      </c>
      <c r="H69" s="80">
        <f t="shared" si="14"/>
        <v>0</v>
      </c>
    </row>
    <row r="70" spans="1:8" s="35" customFormat="1" x14ac:dyDescent="0.3">
      <c r="A70" s="40"/>
      <c r="D70" s="39"/>
      <c r="E70" s="39"/>
      <c r="F70" s="39"/>
      <c r="G70" s="39"/>
      <c r="H70" s="39"/>
    </row>
    <row r="71" spans="1:8" s="35" customFormat="1" x14ac:dyDescent="0.3">
      <c r="A71" s="21" t="s">
        <v>28</v>
      </c>
      <c r="D71" s="39"/>
      <c r="E71" s="39"/>
      <c r="F71" s="39"/>
      <c r="G71" s="39"/>
      <c r="H71" s="39"/>
    </row>
    <row r="72" spans="1:8" s="35" customFormat="1" x14ac:dyDescent="0.3">
      <c r="A72" s="38" t="str">
        <f>Dist1&amp;" region"</f>
        <v>Ausgrid  region</v>
      </c>
      <c r="D72" s="39"/>
      <c r="E72" s="39"/>
      <c r="F72" s="39"/>
      <c r="G72" s="39"/>
      <c r="H72" s="39"/>
    </row>
    <row r="73" spans="1:8" s="35" customFormat="1" x14ac:dyDescent="0.3">
      <c r="A73" s="35" t="s">
        <v>25</v>
      </c>
      <c r="B73" s="35" t="s">
        <v>31</v>
      </c>
      <c r="C73" s="35" t="s">
        <v>29</v>
      </c>
      <c r="D73" s="83">
        <f t="shared" ref="D73:H76" si="15">IF(D$484=0,0,D480/D$484)</f>
        <v>0.79845912154745102</v>
      </c>
      <c r="E73" s="83">
        <f t="shared" si="15"/>
        <v>0.79845912154745102</v>
      </c>
      <c r="F73" s="83">
        <f t="shared" si="15"/>
        <v>0.63648930120759351</v>
      </c>
      <c r="G73" s="83">
        <f t="shared" si="15"/>
        <v>0.63648930120759351</v>
      </c>
      <c r="H73" s="83">
        <f t="shared" si="15"/>
        <v>0.63648930120759351</v>
      </c>
    </row>
    <row r="74" spans="1:8" s="35" customFormat="1" x14ac:dyDescent="0.3">
      <c r="A74" s="35" t="s">
        <v>26</v>
      </c>
      <c r="B74" s="35" t="s">
        <v>31</v>
      </c>
      <c r="C74" s="35" t="s">
        <v>29</v>
      </c>
      <c r="D74" s="83">
        <f t="shared" si="15"/>
        <v>0.201540878452549</v>
      </c>
      <c r="E74" s="83">
        <f t="shared" si="15"/>
        <v>0.201540878452549</v>
      </c>
      <c r="F74" s="83">
        <f t="shared" si="15"/>
        <v>0.25142726889240646</v>
      </c>
      <c r="G74" s="83">
        <f t="shared" si="15"/>
        <v>0.25142726889240646</v>
      </c>
      <c r="H74" s="83">
        <f t="shared" si="15"/>
        <v>0.25142726889240646</v>
      </c>
    </row>
    <row r="75" spans="1:8" s="35" customFormat="1" x14ac:dyDescent="0.3">
      <c r="A75" s="35" t="s">
        <v>27</v>
      </c>
      <c r="B75" s="35" t="s">
        <v>31</v>
      </c>
      <c r="C75" s="35" t="s">
        <v>29</v>
      </c>
      <c r="D75" s="83">
        <f t="shared" si="15"/>
        <v>0</v>
      </c>
      <c r="E75" s="83">
        <f t="shared" si="15"/>
        <v>0</v>
      </c>
      <c r="F75" s="83">
        <f t="shared" si="15"/>
        <v>0.11208342989999999</v>
      </c>
      <c r="G75" s="83">
        <f t="shared" si="15"/>
        <v>0.11208342989999999</v>
      </c>
      <c r="H75" s="83">
        <f t="shared" si="15"/>
        <v>0.11208342989999999</v>
      </c>
    </row>
    <row r="76" spans="1:8" s="35" customFormat="1" x14ac:dyDescent="0.3">
      <c r="A76" s="35" t="s">
        <v>89</v>
      </c>
      <c r="B76" s="35" t="s">
        <v>31</v>
      </c>
      <c r="C76" s="35" t="s">
        <v>29</v>
      </c>
      <c r="D76" s="83">
        <f t="shared" si="15"/>
        <v>0</v>
      </c>
      <c r="E76" s="83">
        <f t="shared" si="15"/>
        <v>0</v>
      </c>
      <c r="F76" s="83">
        <f t="shared" si="15"/>
        <v>0</v>
      </c>
      <c r="G76" s="83">
        <f t="shared" si="15"/>
        <v>0</v>
      </c>
      <c r="H76" s="83">
        <f t="shared" si="15"/>
        <v>0</v>
      </c>
    </row>
    <row r="77" spans="1:8" s="35" customFormat="1" x14ac:dyDescent="0.3">
      <c r="A77" s="38" t="str">
        <f>Dist2&amp;" region"</f>
        <v>Essential region</v>
      </c>
      <c r="D77" s="39"/>
      <c r="E77" s="39"/>
      <c r="F77" s="39"/>
      <c r="G77" s="39"/>
      <c r="H77" s="39"/>
    </row>
    <row r="78" spans="1:8" s="35" customFormat="1" x14ac:dyDescent="0.3">
      <c r="A78" s="35" t="str">
        <f>A73</f>
        <v>Block 1</v>
      </c>
      <c r="B78" s="35" t="s">
        <v>31</v>
      </c>
      <c r="C78" s="35" t="s">
        <v>29</v>
      </c>
      <c r="D78" s="83">
        <f t="shared" ref="D78:H81" si="16">IF(D$491=0,0,D487/D$491)</f>
        <v>1</v>
      </c>
      <c r="E78" s="83">
        <f t="shared" si="16"/>
        <v>1</v>
      </c>
      <c r="F78" s="83">
        <f t="shared" si="16"/>
        <v>1</v>
      </c>
      <c r="G78" s="83">
        <f t="shared" si="16"/>
        <v>1</v>
      </c>
      <c r="H78" s="83">
        <f t="shared" si="16"/>
        <v>1</v>
      </c>
    </row>
    <row r="79" spans="1:8" s="35" customFormat="1" x14ac:dyDescent="0.3">
      <c r="A79" s="35" t="str">
        <f>A74</f>
        <v>Block 2</v>
      </c>
      <c r="B79" s="35" t="s">
        <v>31</v>
      </c>
      <c r="C79" s="35" t="s">
        <v>29</v>
      </c>
      <c r="D79" s="83">
        <f t="shared" si="16"/>
        <v>0</v>
      </c>
      <c r="E79" s="83">
        <f t="shared" si="16"/>
        <v>0</v>
      </c>
      <c r="F79" s="83">
        <f t="shared" si="16"/>
        <v>0</v>
      </c>
      <c r="G79" s="83">
        <f t="shared" si="16"/>
        <v>0</v>
      </c>
      <c r="H79" s="83">
        <f t="shared" si="16"/>
        <v>0</v>
      </c>
    </row>
    <row r="80" spans="1:8" s="35" customFormat="1" x14ac:dyDescent="0.3">
      <c r="A80" s="35" t="str">
        <f>A75</f>
        <v>Block 3</v>
      </c>
      <c r="B80" s="35" t="s">
        <v>31</v>
      </c>
      <c r="C80" s="35" t="s">
        <v>29</v>
      </c>
      <c r="D80" s="83">
        <f t="shared" si="16"/>
        <v>0</v>
      </c>
      <c r="E80" s="83">
        <f t="shared" si="16"/>
        <v>0</v>
      </c>
      <c r="F80" s="83">
        <f t="shared" si="16"/>
        <v>0</v>
      </c>
      <c r="G80" s="83">
        <f t="shared" si="16"/>
        <v>0</v>
      </c>
      <c r="H80" s="83">
        <f t="shared" si="16"/>
        <v>0</v>
      </c>
    </row>
    <row r="81" spans="1:8" s="35" customFormat="1" x14ac:dyDescent="0.3">
      <c r="A81" s="35" t="str">
        <f>A76</f>
        <v>Block 4</v>
      </c>
      <c r="B81" s="35" t="s">
        <v>31</v>
      </c>
      <c r="C81" s="35" t="s">
        <v>29</v>
      </c>
      <c r="D81" s="83">
        <f t="shared" si="16"/>
        <v>0</v>
      </c>
      <c r="E81" s="83">
        <f t="shared" si="16"/>
        <v>0</v>
      </c>
      <c r="F81" s="83">
        <f t="shared" si="16"/>
        <v>0</v>
      </c>
      <c r="G81" s="83">
        <f t="shared" si="16"/>
        <v>0</v>
      </c>
      <c r="H81" s="83">
        <f t="shared" si="16"/>
        <v>0</v>
      </c>
    </row>
    <row r="82" spans="1:8" s="35" customFormat="1" x14ac:dyDescent="0.3">
      <c r="A82" s="38" t="str">
        <f>Dist3&amp;" region"</f>
        <v>Endeavour region</v>
      </c>
      <c r="D82" s="39"/>
      <c r="E82" s="39"/>
      <c r="F82" s="39"/>
      <c r="G82" s="39"/>
      <c r="H82" s="39"/>
    </row>
    <row r="83" spans="1:8" s="35" customFormat="1" x14ac:dyDescent="0.3">
      <c r="A83" s="35" t="str">
        <f>A78</f>
        <v>Block 1</v>
      </c>
      <c r="B83" s="35" t="s">
        <v>31</v>
      </c>
      <c r="C83" s="35" t="s">
        <v>29</v>
      </c>
      <c r="D83" s="83">
        <f t="shared" ref="D83:H86" si="17">IF(D$498=0,0,D494/D$498)</f>
        <v>0.77152432307728391</v>
      </c>
      <c r="E83" s="83">
        <f t="shared" si="17"/>
        <v>0.77152432307728391</v>
      </c>
      <c r="F83" s="83">
        <f t="shared" si="17"/>
        <v>0.77152432307728391</v>
      </c>
      <c r="G83" s="83">
        <f t="shared" si="17"/>
        <v>0.77152432307728391</v>
      </c>
      <c r="H83" s="83">
        <f t="shared" si="17"/>
        <v>0.77152432307728391</v>
      </c>
    </row>
    <row r="84" spans="1:8" s="35" customFormat="1" x14ac:dyDescent="0.3">
      <c r="A84" s="35" t="str">
        <f>A79</f>
        <v>Block 2</v>
      </c>
      <c r="B84" s="35" t="s">
        <v>31</v>
      </c>
      <c r="C84" s="35" t="s">
        <v>29</v>
      </c>
      <c r="D84" s="83">
        <f t="shared" si="17"/>
        <v>0.228475676922716</v>
      </c>
      <c r="E84" s="83">
        <f t="shared" si="17"/>
        <v>0.228475676922716</v>
      </c>
      <c r="F84" s="83">
        <f t="shared" si="17"/>
        <v>0.228475676922716</v>
      </c>
      <c r="G84" s="83">
        <f t="shared" si="17"/>
        <v>0.228475676922716</v>
      </c>
      <c r="H84" s="83">
        <f t="shared" si="17"/>
        <v>0.228475676922716</v>
      </c>
    </row>
    <row r="85" spans="1:8" s="35" customFormat="1" x14ac:dyDescent="0.3">
      <c r="A85" s="35" t="str">
        <f>A80</f>
        <v>Block 3</v>
      </c>
      <c r="B85" s="35" t="s">
        <v>31</v>
      </c>
      <c r="C85" s="35" t="s">
        <v>29</v>
      </c>
      <c r="D85" s="83">
        <f t="shared" si="17"/>
        <v>0</v>
      </c>
      <c r="E85" s="83">
        <f t="shared" si="17"/>
        <v>0</v>
      </c>
      <c r="F85" s="83">
        <f t="shared" si="17"/>
        <v>0</v>
      </c>
      <c r="G85" s="83">
        <f t="shared" si="17"/>
        <v>0</v>
      </c>
      <c r="H85" s="83">
        <f t="shared" si="17"/>
        <v>0</v>
      </c>
    </row>
    <row r="86" spans="1:8" s="35" customFormat="1" x14ac:dyDescent="0.3">
      <c r="A86" s="35" t="str">
        <f>A81</f>
        <v>Block 4</v>
      </c>
      <c r="B86" s="35" t="s">
        <v>31</v>
      </c>
      <c r="C86" s="35" t="s">
        <v>29</v>
      </c>
      <c r="D86" s="83">
        <f t="shared" si="17"/>
        <v>0</v>
      </c>
      <c r="E86" s="83">
        <f t="shared" si="17"/>
        <v>0</v>
      </c>
      <c r="F86" s="83">
        <f t="shared" si="17"/>
        <v>0</v>
      </c>
      <c r="G86" s="83">
        <f t="shared" si="17"/>
        <v>0</v>
      </c>
      <c r="H86" s="83">
        <f t="shared" si="17"/>
        <v>0</v>
      </c>
    </row>
    <row r="87" spans="1:8" s="35" customFormat="1" x14ac:dyDescent="0.3"/>
    <row r="88" spans="1:8" s="37" customFormat="1" ht="18.75" x14ac:dyDescent="0.3">
      <c r="A88" s="36" t="s">
        <v>126</v>
      </c>
    </row>
    <row r="89" spans="1:8" s="35" customFormat="1" x14ac:dyDescent="0.3">
      <c r="A89" s="38" t="str">
        <f>Dist1</f>
        <v xml:space="preserve">Ausgrid </v>
      </c>
    </row>
    <row r="90" spans="1:8" s="35" customFormat="1" x14ac:dyDescent="0.3">
      <c r="A90" s="40" t="s">
        <v>70</v>
      </c>
      <c r="B90" s="104" t="s">
        <v>31</v>
      </c>
      <c r="C90" s="35" t="s">
        <v>17</v>
      </c>
      <c r="D90" s="80">
        <f>IF(VLOOKUP($A90,$A$236:$H$244,3,FALSE)="$/kWh",VLOOKUP($A90,$A$236:$H$244,COLUMN(D90),FALSE)*100,IF(VLOOKUP($A90,$A$236:$H$244,3,FALSE)="$/mWh",VLOOKUP($A90,$A$236:$H$244,COLUMN(D90),FALSE)*100/1000,VLOOKUP($A90,$A$236:$H$244,COLUMN(D90),FALSE)))</f>
        <v>1.41</v>
      </c>
      <c r="E90" s="80">
        <f>IF(VLOOKUP($A90,$A$236:$H$244,3,FALSE)="$/kWh",VLOOKUP($A90,$A$236:$H$244,COLUMN(E90),FALSE)*100,IF(VLOOKUP($A90,$A$236:$H$244,3,FALSE)="$/mWh",VLOOKUP($A90,$A$236:$H$244,COLUMN(E90),FALSE)*100/1000,VLOOKUP($A90,$A$236:$H$244,COLUMN(E90),FALSE)))</f>
        <v>1.41</v>
      </c>
      <c r="F90" s="80">
        <f>IF(VLOOKUP($A90,$A$236:$H$244,3,FALSE)="$/kWh",VLOOKUP($A90,$A$236:$H$244,COLUMN(F90),FALSE)*100,IF(VLOOKUP($A90,$A$236:$H$244,3,FALSE)="$/mWh",VLOOKUP($A90,$A$236:$H$244,COLUMN(F90),FALSE)*100/1000,VLOOKUP($A90,$A$236:$H$244,COLUMN(F90),FALSE)))</f>
        <v>1.476</v>
      </c>
      <c r="G90" s="80">
        <f>IF(VLOOKUP($A90,$A$236:$H$244,3,FALSE)="$/kWh",VLOOKUP($A90,$A$236:$H$244,COLUMN(G90),FALSE)*100,IF(VLOOKUP($A90,$A$236:$H$244,3,FALSE)="$/mWh",VLOOKUP($A90,$A$236:$H$244,COLUMN(G90),FALSE)*100/1000,VLOOKUP($A90,$A$236:$H$244,COLUMN(G90),FALSE)))</f>
        <v>1.5128999999999999</v>
      </c>
      <c r="H90" s="80">
        <f>IF(VLOOKUP($A90,$A$236:$H$244,3,FALSE)="$/kWh",VLOOKUP($A90,$A$236:$H$244,COLUMN(H90),FALSE)*100,IF(VLOOKUP($A90,$A$236:$H$244,3,FALSE)="$/mWh",VLOOKUP($A90,$A$236:$H$244,COLUMN(H90),FALSE)*100/1000,VLOOKUP($A90,$A$236:$H$244,COLUMN(H90),FALSE)))</f>
        <v>1.5507224999999996</v>
      </c>
    </row>
    <row r="91" spans="1:8" s="35" customFormat="1" x14ac:dyDescent="0.3">
      <c r="A91" s="40" t="s">
        <v>75</v>
      </c>
      <c r="B91" s="104" t="s">
        <v>31</v>
      </c>
      <c r="C91" s="35" t="s">
        <v>17</v>
      </c>
      <c r="D91" s="80">
        <f ca="1">IF(VLOOKUP($A91,dist1Retail,3,FALSE)="$/kWh",VLOOKUP($A91,dist1Retail,COLUMN(D91),FALSE)*100,IF(VLOOKUP($A91,dist1Retail,3,FALSE)="$/mWh",VLOOKUP($A91,dist1Retail,COLUMN(D91),FALSE)*100/1000,VLOOKUP($A91,dist1Retail,COLUMN(D91),FALSE)))+(VLOOKUP(OFFSET(D91,-2,-1*(COLUMN(D91)-1)),$A$339:$H$341,COLUMN(D91),FALSE))</f>
        <v>0</v>
      </c>
      <c r="E91" s="80">
        <f ca="1">IF(VLOOKUP($A91,dist1Retail,3,FALSE)="$/kWh",VLOOKUP($A91,dist1Retail,COLUMN(E91),FALSE)*100,IF(VLOOKUP($A91,dist1Retail,3,FALSE)="$/mWh",VLOOKUP($A91,dist1Retail,COLUMN(E91),FALSE)*100/1000,VLOOKUP($A91,dist1Retail,COLUMN(E91),FALSE)))+(VLOOKUP(OFFSET(E91,-2,-1*(COLUMN(E91)-1)),$A$339:$H$341,COLUMN(E91),FALSE))</f>
        <v>0.62012499999999993</v>
      </c>
      <c r="F91" s="80">
        <f ca="1">IF(VLOOKUP($A91,dist1Retail,3,FALSE)="$/kWh",VLOOKUP($A91,dist1Retail,COLUMN(F91),FALSE)*100,IF(VLOOKUP($A91,dist1Retail,3,FALSE)="$/mWh",VLOOKUP($A91,dist1Retail,COLUMN(F91),FALSE)*100/1000,VLOOKUP($A91,dist1Retail,COLUMN(F91),FALSE)))+(VLOOKUP(OFFSET(F91,-2,-1*(COLUMN(F91)-1)),$A$339:$H$341,COLUMN(F91),FALSE))</f>
        <v>0.55042499999999994</v>
      </c>
      <c r="G91" s="80">
        <f ca="1">IF(VLOOKUP($A91,dist1Retail,3,FALSE)="$/kWh",VLOOKUP($A91,dist1Retail,COLUMN(G91),FALSE)*100,IF(VLOOKUP($A91,dist1Retail,3,FALSE)="$/mWh",VLOOKUP($A91,dist1Retail,COLUMN(G91),FALSE)*100/1000,VLOOKUP($A91,dist1Retail,COLUMN(G91),FALSE)))+(VLOOKUP(OFFSET(G91,-2,-1*(COLUMN(G91)-1)),$A$339:$H$341,COLUMN(G91),FALSE))</f>
        <v>0.2422560188087774</v>
      </c>
      <c r="H91" s="80">
        <f ca="1">IF(VLOOKUP($A91,dist1Retail,3,FALSE)="$/kWh",VLOOKUP($A91,dist1Retail,COLUMN(H91),FALSE)*100,IF(VLOOKUP($A91,dist1Retail,3,FALSE)="$/mWh",VLOOKUP($A91,dist1Retail,COLUMN(H91),FALSE)*100/1000,VLOOKUP($A91,dist1Retail,COLUMN(H91),FALSE)))+(VLOOKUP(OFFSET(H91,-2,-1*(COLUMN(H91)-1)),$A$339:$H$341,COLUMN(H91),FALSE))</f>
        <v>0.21050736677115994</v>
      </c>
    </row>
    <row r="92" spans="1:8" s="35" customFormat="1" x14ac:dyDescent="0.3">
      <c r="D92" s="39"/>
      <c r="E92" s="39"/>
      <c r="F92" s="39"/>
      <c r="G92" s="39"/>
      <c r="H92" s="39"/>
    </row>
    <row r="93" spans="1:8" s="35" customFormat="1" x14ac:dyDescent="0.3">
      <c r="A93" s="38" t="str">
        <f>Dist2</f>
        <v>Essential</v>
      </c>
      <c r="D93" s="39"/>
      <c r="E93" s="39"/>
      <c r="F93" s="39"/>
      <c r="G93" s="39"/>
      <c r="H93" s="39"/>
    </row>
    <row r="94" spans="1:8" s="35" customFormat="1" x14ac:dyDescent="0.3">
      <c r="A94" s="40" t="str">
        <f>A90</f>
        <v>Retail operating Cost</v>
      </c>
      <c r="B94" s="104" t="s">
        <v>31</v>
      </c>
      <c r="C94" s="35" t="s">
        <v>17</v>
      </c>
      <c r="D94" s="80">
        <f>IF(LEFT($A93,5)="blank",0,IF(VLOOKUP($A90,$A$247:$H$255,3,FALSE)="$/kWh",VLOOKUP($A90,$A$247:$H$255,COLUMN(D90),FALSE)*100,IF(VLOOKUP($A90,$A$247:$H$255,3,FALSE)="$/mWh",VLOOKUP($A90,$A$247:$H$255,COLUMN(D90),FALSE)*100/1000,VLOOKUP($A90,$A$247:$H$255,COLUMN(D90),FALSE))))</f>
        <v>1.32</v>
      </c>
      <c r="E94" s="80">
        <f>IF(LEFT($A93,5)="blank",0,IF(VLOOKUP($A90,$A$247:$H$255,3,FALSE)="$/kWh",VLOOKUP($A90,$A$247:$H$255,COLUMN(E90),FALSE)*100,IF(VLOOKUP($A90,$A$247:$H$255,3,FALSE)="$/mWh",VLOOKUP($A90,$A$247:$H$255,COLUMN(E90),FALSE)*100/1000,VLOOKUP($A90,$A$247:$H$255,COLUMN(E90),FALSE))))</f>
        <v>1.43</v>
      </c>
      <c r="F94" s="80">
        <f>IF(LEFT($A93,5)="blank",0,IF(VLOOKUP($A90,$A$247:$H$255,3,FALSE)="$/kWh",VLOOKUP($A90,$A$247:$H$255,COLUMN(F90),FALSE)*100,IF(VLOOKUP($A90,$A$247:$H$255,3,FALSE)="$/mWh",VLOOKUP($A90,$A$247:$H$255,COLUMN(F90),FALSE)*100/1000,VLOOKUP($A90,$A$247:$H$255,COLUMN(F90),FALSE))))</f>
        <v>1.4964999999999997</v>
      </c>
      <c r="G94" s="80">
        <f>IF(LEFT($A93,5)="blank",0,IF(VLOOKUP($A90,$A$247:$H$255,3,FALSE)="$/kWh",VLOOKUP($A90,$A$247:$H$255,COLUMN(G90),FALSE)*100,IF(VLOOKUP($A90,$A$247:$H$255,3,FALSE)="$/mWh",VLOOKUP($A90,$A$247:$H$255,COLUMN(G90),FALSE)*100/1000,VLOOKUP($A90,$A$247:$H$255,COLUMN(G90),FALSE))))</f>
        <v>1.5339124999999998</v>
      </c>
      <c r="H94" s="80">
        <f>IF(LEFT($A93,5)="blank",0,IF(VLOOKUP($A90,$A$247:$H$255,3,FALSE)="$/kWh",VLOOKUP($A90,$A$247:$H$255,COLUMN(H90),FALSE)*100,IF(VLOOKUP($A90,$A$247:$H$255,3,FALSE)="$/mWh",VLOOKUP($A90,$A$247:$H$255,COLUMN(H90),FALSE)*100/1000,VLOOKUP($A90,$A$247:$H$255,COLUMN(H90),FALSE))))</f>
        <v>1.5722603124999996</v>
      </c>
    </row>
    <row r="95" spans="1:8" s="35" customFormat="1" x14ac:dyDescent="0.3">
      <c r="A95" s="40" t="s">
        <v>75</v>
      </c>
      <c r="B95" s="104" t="s">
        <v>31</v>
      </c>
      <c r="C95" s="35" t="s">
        <v>17</v>
      </c>
      <c r="D95" s="80">
        <f ca="1">IF(LEFT($A93,5)="blank",0,IF(VLOOKUP($A95,dist2Retail,3,FALSE)="$/kWh",VLOOKUP($A95,dist2Retail,COLUMN(D95),FALSE)*100,IF(VLOOKUP($A95,dist2Retail,3,FALSE)="$/mWh",VLOOKUP($A95,dist2Retail,COLUMN(D95),FALSE)*100/1000,VLOOKUP($A95,dist2Retail,COLUMN(D95),FALSE)))+(VLOOKUP(OFFSET(D95,-2,-1*(COLUMN(D95)-1)),$A$339:$H$341,COLUMN(D95),FALSE)))</f>
        <v>0</v>
      </c>
      <c r="E95" s="80">
        <f ca="1">IF(LEFT($A93,5)="blank",0,IF(VLOOKUP($A95,dist2Retail,3,FALSE)="$/kWh",VLOOKUP($A95,dist2Retail,COLUMN(E95),FALSE)*100,IF(VLOOKUP($A95,dist2Retail,3,FALSE)="$/mWh",VLOOKUP($A95,dist2Retail,COLUMN(E95),FALSE)*100/1000,VLOOKUP($A95,dist2Retail,COLUMN(E95),FALSE)))+(VLOOKUP(OFFSET(E95,-2,-1*(COLUMN(E95)-1)),$A$339:$H$341,COLUMN(E95),FALSE)))</f>
        <v>0.63037500000000002</v>
      </c>
      <c r="F95" s="80">
        <f ca="1">IF(LEFT($A93,5)="blank",0,IF(VLOOKUP($A95,dist2Retail,3,FALSE)="$/kWh",VLOOKUP($A95,dist2Retail,COLUMN(F95),FALSE)*100,IF(VLOOKUP($A95,dist2Retail,3,FALSE)="$/mWh",VLOOKUP($A95,dist2Retail,COLUMN(F95),FALSE)*100/1000,VLOOKUP($A95,dist2Retail,COLUMN(F95),FALSE)))+(VLOOKUP(OFFSET(F95,-2,-1*(COLUMN(F95)-1)),$A$339:$H$341,COLUMN(F95),FALSE)))</f>
        <v>0.57502500000000001</v>
      </c>
      <c r="G95" s="80">
        <f ca="1">IF(LEFT($A93,5)="blank",0,IF(VLOOKUP($A95,dist2Retail,3,FALSE)="$/kWh",VLOOKUP($A95,dist2Retail,COLUMN(G95),FALSE)*100,IF(VLOOKUP($A95,dist2Retail,3,FALSE)="$/mWh",VLOOKUP($A95,dist2Retail,COLUMN(G95),FALSE)*100/1000,VLOOKUP($A95,dist2Retail,COLUMN(G95),FALSE)))+(VLOOKUP(OFFSET(G95,-2,-1*(COLUMN(G95)-1)),$A$339:$H$341,COLUMN(G95),FALSE)))</f>
        <v>0.25308310344827584</v>
      </c>
      <c r="H95" s="80">
        <f ca="1">IF(LEFT($A93,5)="blank",0,IF(VLOOKUP($A95,dist2Retail,3,FALSE)="$/kWh",VLOOKUP($A95,dist2Retail,COLUMN(H95),FALSE)*100,IF(VLOOKUP($A95,dist2Retail,3,FALSE)="$/mWh",VLOOKUP($A95,dist2Retail,COLUMN(H95),FALSE)*100/1000,VLOOKUP($A95,dist2Retail,COLUMN(H95),FALSE)))+(VLOOKUP(OFFSET(H95,-2,-1*(COLUMN(H95)-1)),$A$339:$H$341,COLUMN(H95),FALSE)))</f>
        <v>0.21991551724137939</v>
      </c>
    </row>
    <row r="96" spans="1:8" s="35" customFormat="1" x14ac:dyDescent="0.3">
      <c r="D96" s="39"/>
      <c r="E96" s="39"/>
      <c r="F96" s="39"/>
      <c r="G96" s="39"/>
      <c r="H96" s="39"/>
    </row>
    <row r="97" spans="1:9" s="35" customFormat="1" x14ac:dyDescent="0.3">
      <c r="A97" s="38" t="str">
        <f>Dist3</f>
        <v>Endeavour</v>
      </c>
      <c r="D97" s="39"/>
      <c r="E97" s="39"/>
      <c r="F97" s="39"/>
      <c r="G97" s="39"/>
      <c r="H97" s="39"/>
    </row>
    <row r="98" spans="1:9" s="35" customFormat="1" x14ac:dyDescent="0.3">
      <c r="A98" s="40" t="str">
        <f>A94</f>
        <v>Retail operating Cost</v>
      </c>
      <c r="B98" s="104" t="s">
        <v>31</v>
      </c>
      <c r="C98" s="35" t="s">
        <v>17</v>
      </c>
      <c r="D98" s="80">
        <f>IF(LEFT($A97,5)="blank",0,IF(VLOOKUP($A90,$A$258:$H$266,3,FALSE)="$/kWh",VLOOKUP($A90,$A$258:$H$266,COLUMN(D90),FALSE)*100,IF(VLOOKUP($A90,$A$258:$H$266,3,FALSE)="$/mWh",VLOOKUP($A90,$A$258:$H$266,COLUMN(D90),FALSE)*100/1000,VLOOKUP($A90,$A$258:$H$266,COLUMN(D90),FALSE))))</f>
        <v>1.1400000000000001</v>
      </c>
      <c r="E98" s="80">
        <f>IF(LEFT($A97,5)="blank",0,IF(VLOOKUP($A90,$A$258:$H$266,3,FALSE)="$/kWh",VLOOKUP($A90,$A$258:$H$266,COLUMN(E90),FALSE)*100,IF(VLOOKUP($A90,$A$258:$H$266,3,FALSE)="$/mWh",VLOOKUP($A90,$A$258:$H$266,COLUMN(E90),FALSE)*100/1000,VLOOKUP($A90,$A$258:$H$266,COLUMN(E90),FALSE))))</f>
        <v>1.32</v>
      </c>
      <c r="F98" s="80">
        <f>IF(LEFT($A97,5)="blank",0,IF(VLOOKUP($A90,$A$258:$H$266,3,FALSE)="$/kWh",VLOOKUP($A90,$A$258:$H$266,COLUMN(F90),FALSE)*100,IF(VLOOKUP($A90,$A$258:$H$266,3,FALSE)="$/mWh",VLOOKUP($A90,$A$258:$H$266,COLUMN(F90),FALSE)*100/1000,VLOOKUP($A90,$A$258:$H$266,COLUMN(F90),FALSE))))</f>
        <v>1.3837499999999998</v>
      </c>
      <c r="G98" s="80">
        <f>IF(LEFT($A97,5)="blank",0,IF(VLOOKUP($A90,$A$258:$H$266,3,FALSE)="$/kWh",VLOOKUP($A90,$A$258:$H$266,COLUMN(G90),FALSE)*100,IF(VLOOKUP($A90,$A$258:$H$266,3,FALSE)="$/mWh",VLOOKUP($A90,$A$258:$H$266,COLUMN(G90),FALSE)*100/1000,VLOOKUP($A90,$A$258:$H$266,COLUMN(G90),FALSE))))</f>
        <v>1.4183437499999996</v>
      </c>
      <c r="H98" s="80">
        <f>IF(LEFT($A97,5)="blank",0,IF(VLOOKUP($A90,$A$258:$H$266,3,FALSE)="$/kWh",VLOOKUP($A90,$A$258:$H$266,COLUMN(H90),FALSE)*100,IF(VLOOKUP($A90,$A$258:$H$266,3,FALSE)="$/mWh",VLOOKUP($A90,$A$258:$H$266,COLUMN(H90),FALSE)*100/1000,VLOOKUP($A90,$A$258:$H$266,COLUMN(H90),FALSE))))</f>
        <v>1.4538023437499994</v>
      </c>
    </row>
    <row r="99" spans="1:9" s="35" customFormat="1" x14ac:dyDescent="0.3">
      <c r="A99" s="40" t="s">
        <v>75</v>
      </c>
      <c r="B99" s="104" t="s">
        <v>31</v>
      </c>
      <c r="C99" s="35" t="s">
        <v>17</v>
      </c>
      <c r="D99" s="80">
        <f ca="1">IF(LEFT($A97,5)="blank",0,IF(VLOOKUP($A99,dist3retail,3,FALSE)="$/kWh",VLOOKUP($A99,dist3retail,COLUMN(D99),FALSE)*100,IF(VLOOKUP($A99,dist3retail,3,FALSE)="$/mWh",VLOOKUP($A99,dist3retail,COLUMN(D99),FALSE)*100/1000,VLOOKUP($A99,dist3retail,COLUMN(D99),FALSE)))+(VLOOKUP(OFFSET(D99,-2,-1*(COLUMN(D99)-1)),$A$339:$H$341,COLUMN(D99),FALSE)))</f>
        <v>0</v>
      </c>
      <c r="E99" s="106">
        <f ca="1">IF(LEFT($A97,5)="blank",0,IF(VLOOKUP($A99,dist3retail,3,FALSE)="$/kWh",VLOOKUP($A99,dist3retail,COLUMN(E99),FALSE)*100,IF(VLOOKUP($A99,dist3retail,3,FALSE)="$/mWh",VLOOKUP($A99,dist3retail,COLUMN(E99),FALSE)*100/1000,VLOOKUP($A99,dist3retail,COLUMN(E99),FALSE)))+(VLOOKUP(OFFSET(E99,-2,-1*(COLUMN(E99)-1)),$A$339:$H$341,COLUMN(E99),FALSE)))</f>
        <v>0.62319999999999998</v>
      </c>
      <c r="F99" s="106">
        <f ca="1">IF(LEFT($A97,5)="blank",0,IF(VLOOKUP($A99,dist3retail,3,FALSE)="$/kWh",VLOOKUP($A99,dist3retail,COLUMN(F99),FALSE)*100,IF(VLOOKUP($A99,dist3retail,3,FALSE)="$/mWh",VLOOKUP($A99,dist3retail,COLUMN(F99),FALSE)*100/1000,VLOOKUP($A99,dist3retail,COLUMN(F99),FALSE)))+(VLOOKUP(OFFSET(F99,-2,-1*(COLUMN(F99)-1)),$A$339:$H$341,COLUMN(F99),FALSE)))</f>
        <v>0.56599999999999995</v>
      </c>
      <c r="G99" s="106">
        <f ca="1">IF(LEFT($A97,5)="blank",0,IF(VLOOKUP($A99,dist3retail,3,FALSE)="$/kWh",VLOOKUP($A99,dist3retail,COLUMN(G99),FALSE)*100,IF(VLOOKUP($A99,dist3retail,3,FALSE)="$/mWh",VLOOKUP($A99,dist3retail,COLUMN(G99),FALSE)*100/1000,VLOOKUP($A99,dist3retail,COLUMN(G99),FALSE)))+(VLOOKUP(OFFSET(G99,-2,-1*(COLUMN(G99)-1)),$A$339:$H$341,COLUMN(G99),FALSE)))</f>
        <v>0.24911097178683381</v>
      </c>
      <c r="H99" s="106">
        <f ca="1">IF(LEFT($A97,5)="blank",0,IF(VLOOKUP($A99,dist3retail,3,FALSE)="$/kWh",VLOOKUP($A99,dist3retail,COLUMN(H99),FALSE)*100,IF(VLOOKUP($A99,dist3retail,3,FALSE)="$/mWh",VLOOKUP($A99,dist3retail,COLUMN(H99),FALSE)*100/1000,VLOOKUP($A99,dist3retail,COLUMN(H99),FALSE)))+(VLOOKUP(OFFSET(H99,-2,-1*(COLUMN(H99)-1)),$A$339:$H$341,COLUMN(H99),FALSE)))</f>
        <v>0.21646394984326017</v>
      </c>
    </row>
    <row r="100" spans="1:9" s="35" customFormat="1" x14ac:dyDescent="0.3">
      <c r="A100" s="21"/>
      <c r="D100" s="39"/>
      <c r="E100" s="39"/>
      <c r="F100" s="39"/>
      <c r="G100" s="39"/>
      <c r="H100" s="39"/>
    </row>
    <row r="101" spans="1:9" s="35" customFormat="1" x14ac:dyDescent="0.3">
      <c r="A101" s="21" t="str">
        <f>Scheme1</f>
        <v>Energy savings</v>
      </c>
      <c r="D101" s="39"/>
      <c r="E101" s="39"/>
      <c r="F101" s="39"/>
      <c r="G101" s="39"/>
      <c r="H101" s="39"/>
    </row>
    <row r="102" spans="1:9" s="35" customFormat="1" x14ac:dyDescent="0.3">
      <c r="A102" s="38" t="str">
        <f>Dist1</f>
        <v xml:space="preserve">Ausgrid </v>
      </c>
      <c r="D102" s="39"/>
      <c r="E102" s="39"/>
      <c r="F102" s="39"/>
      <c r="G102" s="39"/>
      <c r="H102" s="39"/>
    </row>
    <row r="103" spans="1:9" s="35" customFormat="1" x14ac:dyDescent="0.3">
      <c r="A103" s="35" t="str">
        <f ca="1">'Calc (Jurisdiction)'!$B$2</f>
        <v>Calc (Jurisdiction)</v>
      </c>
      <c r="B103" s="104" t="s">
        <v>31</v>
      </c>
      <c r="C103" s="35" t="s">
        <v>17</v>
      </c>
      <c r="D103" s="80">
        <f t="shared" ref="D103:H107" ca="1" si="18">IF(LEFT($A$101,5)="blank",0,IF(LEFT($A$102,5)="blank",0,IF(LEFT($A103,5)="blank",0,D$243+VLOOKUP($A103,dist1scheme1,COLUMN(D103),FALSE))))</f>
        <v>7.1999999999999995E-2</v>
      </c>
      <c r="E103" s="80">
        <f t="shared" ca="1" si="18"/>
        <v>0.111725</v>
      </c>
      <c r="F103" s="80">
        <f t="shared" ca="1" si="18"/>
        <v>0.155</v>
      </c>
      <c r="G103" s="80">
        <f t="shared" ca="1" si="18"/>
        <v>0</v>
      </c>
      <c r="H103" s="80">
        <f t="shared" ca="1" si="18"/>
        <v>0</v>
      </c>
      <c r="I103" s="41"/>
    </row>
    <row r="104" spans="1:9" s="35" customFormat="1" x14ac:dyDescent="0.3">
      <c r="A104" s="35" t="str">
        <f ca="1">'Calc (LRMC Planning case)'!$B$2</f>
        <v>Calc (LRMC Planning case)</v>
      </c>
      <c r="B104" s="104" t="s">
        <v>31</v>
      </c>
      <c r="C104" s="35" t="s">
        <v>17</v>
      </c>
      <c r="D104" s="80">
        <f t="shared" ca="1" si="18"/>
        <v>7.1999999999999995E-2</v>
      </c>
      <c r="E104" s="80">
        <f t="shared" ca="1" si="18"/>
        <v>0.111725</v>
      </c>
      <c r="F104" s="80">
        <f t="shared" ca="1" si="18"/>
        <v>0.155</v>
      </c>
      <c r="G104" s="80">
        <f t="shared" ca="1" si="18"/>
        <v>0</v>
      </c>
      <c r="H104" s="80">
        <f t="shared" ca="1" si="18"/>
        <v>0</v>
      </c>
      <c r="I104" s="41"/>
    </row>
    <row r="105" spans="1:9" s="35" customFormat="1" x14ac:dyDescent="0.3">
      <c r="A105" s="35" t="str">
        <f ca="1">'Calc (LRMC Slow Rate)'!$B$2</f>
        <v>Calc (LRMC Slow Rate)</v>
      </c>
      <c r="B105" s="104" t="s">
        <v>31</v>
      </c>
      <c r="C105" s="35" t="s">
        <v>17</v>
      </c>
      <c r="D105" s="80">
        <f t="shared" ca="1" si="18"/>
        <v>7.1999999999999995E-2</v>
      </c>
      <c r="E105" s="80">
        <f t="shared" ca="1" si="18"/>
        <v>0.111725</v>
      </c>
      <c r="F105" s="80">
        <f t="shared" ca="1" si="18"/>
        <v>0.155</v>
      </c>
      <c r="G105" s="80">
        <f t="shared" ca="1" si="18"/>
        <v>0</v>
      </c>
      <c r="H105" s="80">
        <f t="shared" ca="1" si="18"/>
        <v>0</v>
      </c>
      <c r="I105" s="41"/>
    </row>
    <row r="106" spans="1:9" s="35" customFormat="1" x14ac:dyDescent="0.3">
      <c r="A106" s="35" t="str">
        <f ca="1">'Calc (Market Planning Case)'!$B$2</f>
        <v>Calc (Market Planning Case)</v>
      </c>
      <c r="B106" s="104" t="s">
        <v>31</v>
      </c>
      <c r="C106" s="35" t="s">
        <v>17</v>
      </c>
      <c r="D106" s="80">
        <f t="shared" ca="1" si="18"/>
        <v>7.1999999999999995E-2</v>
      </c>
      <c r="E106" s="80">
        <f t="shared" ca="1" si="18"/>
        <v>0.111725</v>
      </c>
      <c r="F106" s="80">
        <f t="shared" ca="1" si="18"/>
        <v>0.155</v>
      </c>
      <c r="G106" s="80">
        <f t="shared" ca="1" si="18"/>
        <v>0</v>
      </c>
      <c r="H106" s="80">
        <f t="shared" ca="1" si="18"/>
        <v>0</v>
      </c>
      <c r="I106" s="41"/>
    </row>
    <row r="107" spans="1:9" s="35" customFormat="1" x14ac:dyDescent="0.3">
      <c r="A107" s="35" t="str">
        <f ca="1">'Calc (Market Slow Rate)'!$B$2</f>
        <v>Calc (Market Slow Rate)</v>
      </c>
      <c r="B107" s="104" t="s">
        <v>31</v>
      </c>
      <c r="C107" s="35" t="s">
        <v>17</v>
      </c>
      <c r="D107" s="80">
        <f t="shared" ca="1" si="18"/>
        <v>7.1999999999999995E-2</v>
      </c>
      <c r="E107" s="80">
        <f t="shared" ca="1" si="18"/>
        <v>0.111725</v>
      </c>
      <c r="F107" s="80">
        <f t="shared" ca="1" si="18"/>
        <v>0.155</v>
      </c>
      <c r="G107" s="80">
        <f t="shared" ca="1" si="18"/>
        <v>0</v>
      </c>
      <c r="H107" s="80">
        <f t="shared" ca="1" si="18"/>
        <v>0</v>
      </c>
      <c r="I107" s="41"/>
    </row>
    <row r="108" spans="1:9" s="35" customFormat="1" x14ac:dyDescent="0.3">
      <c r="A108" s="38" t="str">
        <f>Dist2</f>
        <v>Essential</v>
      </c>
      <c r="D108" s="74"/>
      <c r="E108" s="74"/>
      <c r="F108" s="74"/>
      <c r="G108" s="74"/>
      <c r="H108" s="74"/>
      <c r="I108" s="43"/>
    </row>
    <row r="109" spans="1:9" s="35" customFormat="1" x14ac:dyDescent="0.3">
      <c r="A109" s="35" t="str">
        <f ca="1">'Calc (Jurisdiction)'!$B$2</f>
        <v>Calc (Jurisdiction)</v>
      </c>
      <c r="B109" s="104" t="s">
        <v>31</v>
      </c>
      <c r="C109" s="35" t="s">
        <v>17</v>
      </c>
      <c r="D109" s="80">
        <f t="shared" ref="D109:H113" ca="1" si="19">IF(LEFT($A$101,5)="blank",0,IF(LEFT($A$108,5)="blank",0,IF(LEFT($A109,5)="blank",0,D$254+VLOOKUP($A109,dist2scheme1,COLUMN(D109),FALSE))))</f>
        <v>7.1999999999999995E-2</v>
      </c>
      <c r="E109" s="80">
        <f t="shared" ca="1" si="19"/>
        <v>0.111725</v>
      </c>
      <c r="F109" s="80">
        <f t="shared" ca="1" si="19"/>
        <v>0.154775</v>
      </c>
      <c r="G109" s="80">
        <f t="shared" ca="1" si="19"/>
        <v>0</v>
      </c>
      <c r="H109" s="80">
        <f t="shared" ca="1" si="19"/>
        <v>0</v>
      </c>
    </row>
    <row r="110" spans="1:9" s="35" customFormat="1" x14ac:dyDescent="0.3">
      <c r="A110" s="35" t="str">
        <f ca="1">'Calc (LRMC Planning case)'!$B$2</f>
        <v>Calc (LRMC Planning case)</v>
      </c>
      <c r="B110" s="104" t="s">
        <v>31</v>
      </c>
      <c r="C110" s="35" t="s">
        <v>17</v>
      </c>
      <c r="D110" s="80">
        <f t="shared" ca="1" si="19"/>
        <v>7.1999999999999995E-2</v>
      </c>
      <c r="E110" s="80">
        <f t="shared" ca="1" si="19"/>
        <v>0.111725</v>
      </c>
      <c r="F110" s="80">
        <f t="shared" ca="1" si="19"/>
        <v>0.154775</v>
      </c>
      <c r="G110" s="80">
        <f t="shared" ca="1" si="19"/>
        <v>0</v>
      </c>
      <c r="H110" s="80">
        <f t="shared" ca="1" si="19"/>
        <v>0</v>
      </c>
    </row>
    <row r="111" spans="1:9" s="35" customFormat="1" x14ac:dyDescent="0.3">
      <c r="A111" s="35" t="str">
        <f ca="1">'Calc (LRMC Slow Rate)'!$B$2</f>
        <v>Calc (LRMC Slow Rate)</v>
      </c>
      <c r="B111" s="104" t="s">
        <v>31</v>
      </c>
      <c r="C111" s="35" t="s">
        <v>17</v>
      </c>
      <c r="D111" s="80">
        <f t="shared" ca="1" si="19"/>
        <v>7.1999999999999995E-2</v>
      </c>
      <c r="E111" s="80">
        <f t="shared" ca="1" si="19"/>
        <v>0.111725</v>
      </c>
      <c r="F111" s="80">
        <f t="shared" ca="1" si="19"/>
        <v>0.154775</v>
      </c>
      <c r="G111" s="80">
        <f t="shared" ca="1" si="19"/>
        <v>0</v>
      </c>
      <c r="H111" s="80">
        <f t="shared" ca="1" si="19"/>
        <v>0</v>
      </c>
    </row>
    <row r="112" spans="1:9" s="35" customFormat="1" x14ac:dyDescent="0.3">
      <c r="A112" s="35" t="str">
        <f ca="1">'Calc (Market Planning Case)'!$B$2</f>
        <v>Calc (Market Planning Case)</v>
      </c>
      <c r="B112" s="104" t="s">
        <v>31</v>
      </c>
      <c r="C112" s="35" t="s">
        <v>17</v>
      </c>
      <c r="D112" s="80">
        <f t="shared" ca="1" si="19"/>
        <v>7.1999999999999995E-2</v>
      </c>
      <c r="E112" s="80">
        <f t="shared" ca="1" si="19"/>
        <v>0.111725</v>
      </c>
      <c r="F112" s="80">
        <f t="shared" ca="1" si="19"/>
        <v>0.154775</v>
      </c>
      <c r="G112" s="80">
        <f t="shared" ca="1" si="19"/>
        <v>0</v>
      </c>
      <c r="H112" s="80">
        <f t="shared" ca="1" si="19"/>
        <v>0</v>
      </c>
    </row>
    <row r="113" spans="1:9" s="35" customFormat="1" x14ac:dyDescent="0.3">
      <c r="A113" s="35" t="str">
        <f ca="1">'Calc (Market Slow Rate)'!$B$2</f>
        <v>Calc (Market Slow Rate)</v>
      </c>
      <c r="B113" s="104" t="s">
        <v>31</v>
      </c>
      <c r="C113" s="35" t="s">
        <v>17</v>
      </c>
      <c r="D113" s="80">
        <f t="shared" ca="1" si="19"/>
        <v>7.1999999999999995E-2</v>
      </c>
      <c r="E113" s="80">
        <f t="shared" ca="1" si="19"/>
        <v>0.111725</v>
      </c>
      <c r="F113" s="80">
        <f t="shared" ca="1" si="19"/>
        <v>0.154775</v>
      </c>
      <c r="G113" s="80">
        <f t="shared" ca="1" si="19"/>
        <v>0</v>
      </c>
      <c r="H113" s="80">
        <f t="shared" ca="1" si="19"/>
        <v>0</v>
      </c>
    </row>
    <row r="114" spans="1:9" s="35" customFormat="1" x14ac:dyDescent="0.3">
      <c r="A114" s="38" t="str">
        <f>Dist3</f>
        <v>Endeavour</v>
      </c>
      <c r="D114" s="39"/>
      <c r="E114" s="39"/>
      <c r="F114" s="39"/>
      <c r="G114" s="39"/>
      <c r="H114" s="39"/>
    </row>
    <row r="115" spans="1:9" s="35" customFormat="1" x14ac:dyDescent="0.3">
      <c r="A115" s="35" t="str">
        <f ca="1">'Calc (Jurisdiction)'!$B$2</f>
        <v>Calc (Jurisdiction)</v>
      </c>
      <c r="B115" s="104" t="s">
        <v>31</v>
      </c>
      <c r="C115" s="35" t="s">
        <v>17</v>
      </c>
      <c r="D115" s="80">
        <f t="shared" ref="D115:H119" ca="1" si="20">IF(LEFT($A$101,5)="blank",0,IF(LEFT($A$114,5)="blank",0,IF(LEFT($A115,5)="blank",0,D$265+VLOOKUP($A115,dist3scheme1,COLUMN(D115),FALSE))))</f>
        <v>7.1999999999999995E-2</v>
      </c>
      <c r="E115" s="80">
        <f t="shared" ca="1" si="20"/>
        <v>0.111725</v>
      </c>
      <c r="F115" s="80">
        <f t="shared" ca="1" si="20"/>
        <v>0.155</v>
      </c>
      <c r="G115" s="80">
        <f t="shared" ca="1" si="20"/>
        <v>0</v>
      </c>
      <c r="H115" s="80">
        <f t="shared" ca="1" si="20"/>
        <v>0</v>
      </c>
    </row>
    <row r="116" spans="1:9" s="35" customFormat="1" x14ac:dyDescent="0.3">
      <c r="A116" s="35" t="str">
        <f ca="1">'Calc (LRMC Planning case)'!$B$2</f>
        <v>Calc (LRMC Planning case)</v>
      </c>
      <c r="B116" s="104" t="s">
        <v>31</v>
      </c>
      <c r="C116" s="35" t="s">
        <v>17</v>
      </c>
      <c r="D116" s="80">
        <f t="shared" ca="1" si="20"/>
        <v>7.1999999999999995E-2</v>
      </c>
      <c r="E116" s="80">
        <f t="shared" ca="1" si="20"/>
        <v>0.111725</v>
      </c>
      <c r="F116" s="80">
        <f t="shared" ca="1" si="20"/>
        <v>0.155</v>
      </c>
      <c r="G116" s="80">
        <f t="shared" ca="1" si="20"/>
        <v>0</v>
      </c>
      <c r="H116" s="80">
        <f t="shared" ca="1" si="20"/>
        <v>0</v>
      </c>
    </row>
    <row r="117" spans="1:9" s="35" customFormat="1" x14ac:dyDescent="0.3">
      <c r="A117" s="35" t="str">
        <f ca="1">'Calc (LRMC Slow Rate)'!$B$2</f>
        <v>Calc (LRMC Slow Rate)</v>
      </c>
      <c r="B117" s="104" t="s">
        <v>31</v>
      </c>
      <c r="C117" s="35" t="s">
        <v>17</v>
      </c>
      <c r="D117" s="80">
        <f t="shared" ca="1" si="20"/>
        <v>7.1999999999999995E-2</v>
      </c>
      <c r="E117" s="80">
        <f t="shared" ca="1" si="20"/>
        <v>0.111725</v>
      </c>
      <c r="F117" s="80">
        <f t="shared" ca="1" si="20"/>
        <v>0.155</v>
      </c>
      <c r="G117" s="80">
        <f t="shared" ca="1" si="20"/>
        <v>0</v>
      </c>
      <c r="H117" s="80">
        <f t="shared" ca="1" si="20"/>
        <v>0</v>
      </c>
    </row>
    <row r="118" spans="1:9" s="35" customFormat="1" x14ac:dyDescent="0.3">
      <c r="A118" s="35" t="str">
        <f ca="1">'Calc (Market Planning Case)'!$B$2</f>
        <v>Calc (Market Planning Case)</v>
      </c>
      <c r="B118" s="104" t="s">
        <v>31</v>
      </c>
      <c r="C118" s="35" t="s">
        <v>17</v>
      </c>
      <c r="D118" s="80">
        <f t="shared" ca="1" si="20"/>
        <v>7.1999999999999995E-2</v>
      </c>
      <c r="E118" s="80">
        <f t="shared" ca="1" si="20"/>
        <v>0.111725</v>
      </c>
      <c r="F118" s="80">
        <f t="shared" ca="1" si="20"/>
        <v>0.155</v>
      </c>
      <c r="G118" s="80">
        <f t="shared" ca="1" si="20"/>
        <v>0</v>
      </c>
      <c r="H118" s="80">
        <f t="shared" ca="1" si="20"/>
        <v>0</v>
      </c>
    </row>
    <row r="119" spans="1:9" s="35" customFormat="1" x14ac:dyDescent="0.3">
      <c r="A119" s="35" t="str">
        <f ca="1">'Calc (Market Slow Rate)'!$B$2</f>
        <v>Calc (Market Slow Rate)</v>
      </c>
      <c r="B119" s="104" t="s">
        <v>31</v>
      </c>
      <c r="C119" s="35" t="s">
        <v>17</v>
      </c>
      <c r="D119" s="80">
        <f t="shared" ca="1" si="20"/>
        <v>7.1999999999999995E-2</v>
      </c>
      <c r="E119" s="80">
        <f t="shared" ca="1" si="20"/>
        <v>0.111725</v>
      </c>
      <c r="F119" s="80">
        <f t="shared" ca="1" si="20"/>
        <v>0.155</v>
      </c>
      <c r="G119" s="80">
        <f t="shared" ca="1" si="20"/>
        <v>0</v>
      </c>
      <c r="H119" s="80">
        <f t="shared" ca="1" si="20"/>
        <v>0</v>
      </c>
    </row>
    <row r="120" spans="1:9" s="35" customFormat="1" hidden="1" x14ac:dyDescent="0.3">
      <c r="A120" s="21"/>
      <c r="D120" s="39"/>
      <c r="E120" s="39"/>
      <c r="F120" s="39"/>
      <c r="G120" s="39"/>
      <c r="H120" s="39"/>
    </row>
    <row r="121" spans="1:9" s="35" customFormat="1" hidden="1" x14ac:dyDescent="0.3">
      <c r="A121" s="21" t="str">
        <f>Scheme2</f>
        <v>Blank</v>
      </c>
      <c r="D121" s="39"/>
      <c r="E121" s="39"/>
      <c r="F121" s="39"/>
      <c r="G121" s="39"/>
      <c r="H121" s="39"/>
    </row>
    <row r="122" spans="1:9" s="35" customFormat="1" hidden="1" x14ac:dyDescent="0.3">
      <c r="A122" s="38" t="str">
        <f>Dist1</f>
        <v xml:space="preserve">Ausgrid </v>
      </c>
      <c r="D122" s="39"/>
      <c r="E122" s="39"/>
      <c r="F122" s="39"/>
      <c r="G122" s="39"/>
      <c r="H122" s="39"/>
    </row>
    <row r="123" spans="1:9" s="35" customFormat="1" hidden="1" x14ac:dyDescent="0.3">
      <c r="A123" s="35" t="str">
        <f ca="1">'Calc (Jurisdiction)'!$B$2</f>
        <v>Calc (Jurisdiction)</v>
      </c>
      <c r="B123" s="104" t="s">
        <v>31</v>
      </c>
      <c r="C123" s="35" t="s">
        <v>17</v>
      </c>
      <c r="D123" s="80">
        <f t="shared" ref="D123:H127" si="21">IF(LEFT($A$121,5)="blank",0,IF(LEFT($A123,5)="blank",0,D$244+VLOOKUP($A123,dist1scheme2,COLUMN(D103),FALSE)))</f>
        <v>0</v>
      </c>
      <c r="E123" s="80">
        <f t="shared" si="21"/>
        <v>0</v>
      </c>
      <c r="F123" s="80">
        <f t="shared" si="21"/>
        <v>0</v>
      </c>
      <c r="G123" s="80">
        <f t="shared" si="21"/>
        <v>0</v>
      </c>
      <c r="H123" s="80">
        <f t="shared" si="21"/>
        <v>0</v>
      </c>
      <c r="I123" s="41"/>
    </row>
    <row r="124" spans="1:9" s="35" customFormat="1" hidden="1" x14ac:dyDescent="0.3">
      <c r="A124" s="35" t="str">
        <f ca="1">'Calc (LRMC Planning case)'!$B$2</f>
        <v>Calc (LRMC Planning case)</v>
      </c>
      <c r="B124" s="104" t="s">
        <v>31</v>
      </c>
      <c r="C124" s="35" t="s">
        <v>17</v>
      </c>
      <c r="D124" s="80">
        <f t="shared" si="21"/>
        <v>0</v>
      </c>
      <c r="E124" s="80">
        <f t="shared" si="21"/>
        <v>0</v>
      </c>
      <c r="F124" s="80">
        <f t="shared" si="21"/>
        <v>0</v>
      </c>
      <c r="G124" s="80">
        <f t="shared" si="21"/>
        <v>0</v>
      </c>
      <c r="H124" s="80">
        <f t="shared" si="21"/>
        <v>0</v>
      </c>
      <c r="I124" s="41"/>
    </row>
    <row r="125" spans="1:9" s="35" customFormat="1" hidden="1" x14ac:dyDescent="0.3">
      <c r="A125" s="35" t="str">
        <f ca="1">'Calc (LRMC Slow Rate)'!$B$2</f>
        <v>Calc (LRMC Slow Rate)</v>
      </c>
      <c r="B125" s="104" t="s">
        <v>31</v>
      </c>
      <c r="C125" s="35" t="s">
        <v>17</v>
      </c>
      <c r="D125" s="80">
        <f t="shared" si="21"/>
        <v>0</v>
      </c>
      <c r="E125" s="80">
        <f t="shared" si="21"/>
        <v>0</v>
      </c>
      <c r="F125" s="80">
        <f t="shared" si="21"/>
        <v>0</v>
      </c>
      <c r="G125" s="80">
        <f t="shared" si="21"/>
        <v>0</v>
      </c>
      <c r="H125" s="80">
        <f t="shared" si="21"/>
        <v>0</v>
      </c>
      <c r="I125" s="41"/>
    </row>
    <row r="126" spans="1:9" s="35" customFormat="1" hidden="1" x14ac:dyDescent="0.3">
      <c r="A126" s="35" t="str">
        <f ca="1">'Calc (Market Planning Case)'!$B$2</f>
        <v>Calc (Market Planning Case)</v>
      </c>
      <c r="B126" s="104" t="s">
        <v>31</v>
      </c>
      <c r="C126" s="35" t="s">
        <v>17</v>
      </c>
      <c r="D126" s="80">
        <f t="shared" si="21"/>
        <v>0</v>
      </c>
      <c r="E126" s="80">
        <f t="shared" si="21"/>
        <v>0</v>
      </c>
      <c r="F126" s="80">
        <f t="shared" si="21"/>
        <v>0</v>
      </c>
      <c r="G126" s="80">
        <f t="shared" si="21"/>
        <v>0</v>
      </c>
      <c r="H126" s="80">
        <f t="shared" si="21"/>
        <v>0</v>
      </c>
      <c r="I126" s="41"/>
    </row>
    <row r="127" spans="1:9" s="35" customFormat="1" hidden="1" x14ac:dyDescent="0.3">
      <c r="A127" s="35" t="str">
        <f ca="1">'Calc (Market Slow Rate)'!$B$2</f>
        <v>Calc (Market Slow Rate)</v>
      </c>
      <c r="B127" s="104" t="s">
        <v>31</v>
      </c>
      <c r="C127" s="35" t="s">
        <v>17</v>
      </c>
      <c r="D127" s="80">
        <f t="shared" si="21"/>
        <v>0</v>
      </c>
      <c r="E127" s="80">
        <f t="shared" si="21"/>
        <v>0</v>
      </c>
      <c r="F127" s="80">
        <f t="shared" si="21"/>
        <v>0</v>
      </c>
      <c r="G127" s="80">
        <f t="shared" si="21"/>
        <v>0</v>
      </c>
      <c r="H127" s="80">
        <f t="shared" si="21"/>
        <v>0</v>
      </c>
      <c r="I127" s="41"/>
    </row>
    <row r="128" spans="1:9" s="35" customFormat="1" hidden="1" x14ac:dyDescent="0.3">
      <c r="A128" s="38" t="str">
        <f>Dist2</f>
        <v>Essential</v>
      </c>
      <c r="D128" s="74"/>
      <c r="E128" s="74"/>
      <c r="F128" s="74"/>
      <c r="G128" s="74"/>
      <c r="H128" s="74"/>
      <c r="I128" s="43"/>
    </row>
    <row r="129" spans="1:9" s="35" customFormat="1" hidden="1" x14ac:dyDescent="0.3">
      <c r="A129" s="35" t="str">
        <f ca="1">'Calc (Jurisdiction)'!$B$2</f>
        <v>Calc (Jurisdiction)</v>
      </c>
      <c r="B129" s="104" t="s">
        <v>31</v>
      </c>
      <c r="C129" s="35" t="s">
        <v>17</v>
      </c>
      <c r="D129" s="80">
        <f t="shared" ref="D129:H133" si="22">IF(LEFT($A$121,5)="blank",0,IF(LEFT($A129,5)="blank",0,D$255+VLOOKUP($A129,dist2scheme2,COLUMN(D109),FALSE)))</f>
        <v>0</v>
      </c>
      <c r="E129" s="80">
        <f t="shared" si="22"/>
        <v>0</v>
      </c>
      <c r="F129" s="80">
        <f t="shared" si="22"/>
        <v>0</v>
      </c>
      <c r="G129" s="80">
        <f t="shared" si="22"/>
        <v>0</v>
      </c>
      <c r="H129" s="80">
        <f t="shared" si="22"/>
        <v>0</v>
      </c>
    </row>
    <row r="130" spans="1:9" s="35" customFormat="1" hidden="1" x14ac:dyDescent="0.3">
      <c r="A130" s="35" t="str">
        <f ca="1">'Calc (LRMC Planning case)'!$B$2</f>
        <v>Calc (LRMC Planning case)</v>
      </c>
      <c r="B130" s="104" t="s">
        <v>31</v>
      </c>
      <c r="C130" s="35" t="s">
        <v>17</v>
      </c>
      <c r="D130" s="106">
        <f t="shared" si="22"/>
        <v>0</v>
      </c>
      <c r="E130" s="106">
        <f t="shared" si="22"/>
        <v>0</v>
      </c>
      <c r="F130" s="106">
        <f t="shared" si="22"/>
        <v>0</v>
      </c>
      <c r="G130" s="106">
        <f t="shared" si="22"/>
        <v>0</v>
      </c>
      <c r="H130" s="106">
        <f t="shared" si="22"/>
        <v>0</v>
      </c>
    </row>
    <row r="131" spans="1:9" s="35" customFormat="1" hidden="1" x14ac:dyDescent="0.3">
      <c r="A131" s="35" t="str">
        <f ca="1">'Calc (LRMC Slow Rate)'!$B$2</f>
        <v>Calc (LRMC Slow Rate)</v>
      </c>
      <c r="B131" s="104" t="s">
        <v>31</v>
      </c>
      <c r="C131" s="35" t="s">
        <v>17</v>
      </c>
      <c r="D131" s="106">
        <f t="shared" si="22"/>
        <v>0</v>
      </c>
      <c r="E131" s="106">
        <f t="shared" si="22"/>
        <v>0</v>
      </c>
      <c r="F131" s="106">
        <f t="shared" si="22"/>
        <v>0</v>
      </c>
      <c r="G131" s="106">
        <f t="shared" si="22"/>
        <v>0</v>
      </c>
      <c r="H131" s="106">
        <f t="shared" si="22"/>
        <v>0</v>
      </c>
    </row>
    <row r="132" spans="1:9" s="35" customFormat="1" hidden="1" x14ac:dyDescent="0.3">
      <c r="A132" s="35" t="str">
        <f ca="1">'Calc (Market Planning Case)'!$B$2</f>
        <v>Calc (Market Planning Case)</v>
      </c>
      <c r="B132" s="104" t="s">
        <v>31</v>
      </c>
      <c r="C132" s="35" t="s">
        <v>17</v>
      </c>
      <c r="D132" s="106">
        <f t="shared" si="22"/>
        <v>0</v>
      </c>
      <c r="E132" s="106">
        <f t="shared" si="22"/>
        <v>0</v>
      </c>
      <c r="F132" s="106">
        <f t="shared" si="22"/>
        <v>0</v>
      </c>
      <c r="G132" s="106">
        <f t="shared" si="22"/>
        <v>0</v>
      </c>
      <c r="H132" s="106">
        <f t="shared" si="22"/>
        <v>0</v>
      </c>
    </row>
    <row r="133" spans="1:9" s="35" customFormat="1" hidden="1" x14ac:dyDescent="0.3">
      <c r="A133" s="35" t="str">
        <f ca="1">'Calc (Market Slow Rate)'!$B$2</f>
        <v>Calc (Market Slow Rate)</v>
      </c>
      <c r="B133" s="104" t="s">
        <v>31</v>
      </c>
      <c r="C133" s="35" t="s">
        <v>17</v>
      </c>
      <c r="D133" s="106">
        <f t="shared" si="22"/>
        <v>0</v>
      </c>
      <c r="E133" s="106">
        <f t="shared" si="22"/>
        <v>0</v>
      </c>
      <c r="F133" s="106">
        <f t="shared" si="22"/>
        <v>0</v>
      </c>
      <c r="G133" s="106">
        <f t="shared" si="22"/>
        <v>0</v>
      </c>
      <c r="H133" s="106">
        <f t="shared" si="22"/>
        <v>0</v>
      </c>
    </row>
    <row r="134" spans="1:9" s="35" customFormat="1" hidden="1" x14ac:dyDescent="0.3">
      <c r="A134" s="38" t="str">
        <f>Dist3</f>
        <v>Endeavour</v>
      </c>
      <c r="D134" s="39"/>
      <c r="E134" s="39"/>
      <c r="F134" s="39"/>
      <c r="G134" s="39"/>
      <c r="H134" s="39"/>
    </row>
    <row r="135" spans="1:9" s="35" customFormat="1" hidden="1" x14ac:dyDescent="0.3">
      <c r="A135" s="35" t="str">
        <f ca="1">'Calc (Jurisdiction)'!$B$2</f>
        <v>Calc (Jurisdiction)</v>
      </c>
      <c r="B135" s="104" t="s">
        <v>31</v>
      </c>
      <c r="C135" s="35" t="s">
        <v>17</v>
      </c>
      <c r="D135" s="80">
        <f t="shared" ref="D135:H139" si="23">IF(LEFT($A$121,5)="blank",0,IF(LEFT($A135,5)="blank",0,D$266+VLOOKUP($A135,dist3scheme2,COLUMN(D115),FALSE)))</f>
        <v>0</v>
      </c>
      <c r="E135" s="80">
        <f t="shared" si="23"/>
        <v>0</v>
      </c>
      <c r="F135" s="80">
        <f t="shared" si="23"/>
        <v>0</v>
      </c>
      <c r="G135" s="80">
        <f t="shared" si="23"/>
        <v>0</v>
      </c>
      <c r="H135" s="80">
        <f t="shared" si="23"/>
        <v>0</v>
      </c>
    </row>
    <row r="136" spans="1:9" s="35" customFormat="1" hidden="1" x14ac:dyDescent="0.3">
      <c r="A136" s="35" t="str">
        <f ca="1">'Calc (LRMC Planning case)'!$B$2</f>
        <v>Calc (LRMC Planning case)</v>
      </c>
      <c r="B136" s="104" t="s">
        <v>31</v>
      </c>
      <c r="C136" s="35" t="s">
        <v>17</v>
      </c>
      <c r="D136" s="80">
        <f t="shared" si="23"/>
        <v>0</v>
      </c>
      <c r="E136" s="80">
        <f t="shared" si="23"/>
        <v>0</v>
      </c>
      <c r="F136" s="80">
        <f t="shared" si="23"/>
        <v>0</v>
      </c>
      <c r="G136" s="80">
        <f t="shared" si="23"/>
        <v>0</v>
      </c>
      <c r="H136" s="80">
        <f t="shared" si="23"/>
        <v>0</v>
      </c>
    </row>
    <row r="137" spans="1:9" s="35" customFormat="1" hidden="1" x14ac:dyDescent="0.3">
      <c r="A137" s="35" t="str">
        <f ca="1">'Calc (LRMC Slow Rate)'!$B$2</f>
        <v>Calc (LRMC Slow Rate)</v>
      </c>
      <c r="B137" s="104" t="s">
        <v>31</v>
      </c>
      <c r="C137" s="35" t="s">
        <v>17</v>
      </c>
      <c r="D137" s="80">
        <f t="shared" si="23"/>
        <v>0</v>
      </c>
      <c r="E137" s="80">
        <f t="shared" si="23"/>
        <v>0</v>
      </c>
      <c r="F137" s="80">
        <f t="shared" si="23"/>
        <v>0</v>
      </c>
      <c r="G137" s="80">
        <f t="shared" si="23"/>
        <v>0</v>
      </c>
      <c r="H137" s="80">
        <f t="shared" si="23"/>
        <v>0</v>
      </c>
    </row>
    <row r="138" spans="1:9" s="35" customFormat="1" hidden="1" x14ac:dyDescent="0.3">
      <c r="A138" s="35" t="str">
        <f ca="1">'Calc (Market Planning Case)'!$B$2</f>
        <v>Calc (Market Planning Case)</v>
      </c>
      <c r="B138" s="104" t="s">
        <v>31</v>
      </c>
      <c r="C138" s="35" t="s">
        <v>17</v>
      </c>
      <c r="D138" s="80">
        <f t="shared" si="23"/>
        <v>0</v>
      </c>
      <c r="E138" s="80">
        <f t="shared" si="23"/>
        <v>0</v>
      </c>
      <c r="F138" s="80">
        <f t="shared" si="23"/>
        <v>0</v>
      </c>
      <c r="G138" s="80">
        <f t="shared" si="23"/>
        <v>0</v>
      </c>
      <c r="H138" s="80">
        <f t="shared" si="23"/>
        <v>0</v>
      </c>
    </row>
    <row r="139" spans="1:9" s="35" customFormat="1" hidden="1" x14ac:dyDescent="0.3">
      <c r="A139" s="35" t="str">
        <f ca="1">'Calc (Market Slow Rate)'!$B$2</f>
        <v>Calc (Market Slow Rate)</v>
      </c>
      <c r="B139" s="104" t="s">
        <v>31</v>
      </c>
      <c r="C139" s="35" t="s">
        <v>17</v>
      </c>
      <c r="D139" s="80">
        <f t="shared" si="23"/>
        <v>0</v>
      </c>
      <c r="E139" s="80">
        <f t="shared" si="23"/>
        <v>0</v>
      </c>
      <c r="F139" s="80">
        <f t="shared" si="23"/>
        <v>0</v>
      </c>
      <c r="G139" s="80">
        <f t="shared" si="23"/>
        <v>0</v>
      </c>
      <c r="H139" s="80">
        <f t="shared" si="23"/>
        <v>0</v>
      </c>
    </row>
    <row r="140" spans="1:9" s="35" customFormat="1" x14ac:dyDescent="0.3">
      <c r="A140" s="21"/>
    </row>
    <row r="141" spans="1:9" s="35" customFormat="1" x14ac:dyDescent="0.3">
      <c r="A141" s="21" t="s">
        <v>85</v>
      </c>
    </row>
    <row r="142" spans="1:9" s="35" customFormat="1" x14ac:dyDescent="0.3">
      <c r="A142" s="38" t="str">
        <f>Dist1</f>
        <v xml:space="preserve">Ausgrid </v>
      </c>
      <c r="I142" s="44"/>
    </row>
    <row r="143" spans="1:9" s="35" customFormat="1" x14ac:dyDescent="0.3">
      <c r="A143" s="35" t="str">
        <f ca="1">'Calc (Jurisdiction)'!$B$2</f>
        <v>Calc (Jurisdiction)</v>
      </c>
      <c r="B143" s="104" t="s">
        <v>31</v>
      </c>
      <c r="C143" s="104" t="s">
        <v>132</v>
      </c>
      <c r="D143" s="82">
        <f ca="1">IF('Input Global'!$B$62="no",SUM(INDIRECT("'"&amp;$A143&amp;"'!D8:D11"),INDIRECT("'"&amp;$A143&amp;"'!D14:D19")),SUM(INDIRECT("'"&amp;$A143&amp;"'!D8"),SUM(INDIRECT("'"&amp;$A143&amp;"'!D11"),INDIRECT("'"&amp;$A143&amp;"'!D14:D19"))))</f>
        <v>140911.23080466312</v>
      </c>
      <c r="E143" s="82">
        <f ca="1">IF('Input Global'!$B$62="no",SUM(INDIRECT("'"&amp;$A143&amp;"'!E8:E11"),INDIRECT("'"&amp;$A143&amp;"'!E14:E19")),SUM(INDIRECT("'"&amp;$A143&amp;"'!E8"),SUM(INDIRECT("'"&amp;$A143&amp;"'!E11"),INDIRECT("'"&amp;$A143&amp;"'!E14:E19"))))</f>
        <v>161302.46970064228</v>
      </c>
      <c r="F143" s="82">
        <f ca="1">IF('Input Global'!$B$62="no",SUM(INDIRECT("'"&amp;$A143&amp;"'!F8:F11"),INDIRECT("'"&amp;$A143&amp;"'!F14:F19")),SUM(INDIRECT("'"&amp;$A143&amp;"'!F8"),SUM(INDIRECT("'"&amp;$A143&amp;"'!F11"),INDIRECT("'"&amp;$A143&amp;"'!F14:F19"))))</f>
        <v>196166.33132691242</v>
      </c>
      <c r="G143" s="82">
        <f ca="1">IF('Input Global'!$B$62="no",SUM(INDIRECT("'"&amp;$A143&amp;"'!G8:G11"),INDIRECT("'"&amp;$A143&amp;"'!G14:G19")),SUM(INDIRECT("'"&amp;$A143&amp;"'!G8"),SUM(INDIRECT("'"&amp;$A143&amp;"'!G11"),INDIRECT("'"&amp;$A143&amp;"'!G14:G19"))))</f>
        <v>194520.73857216953</v>
      </c>
      <c r="H143" s="82">
        <f ca="1">IF('Input Global'!$B$62="no",SUM(INDIRECT("'"&amp;$A143&amp;"'!H8:H11"),INDIRECT("'"&amp;$A143&amp;"'!H14:H19")),SUM(INDIRECT("'"&amp;$A143&amp;"'!H8"),SUM(INDIRECT("'"&amp;$A143&amp;"'!H11"),INDIRECT("'"&amp;$A143&amp;"'!H14:H19"))))</f>
        <v>200946.49894437977</v>
      </c>
      <c r="I143" s="45"/>
    </row>
    <row r="144" spans="1:9" s="35" customFormat="1" x14ac:dyDescent="0.3">
      <c r="A144" s="35" t="str">
        <f ca="1">'Calc (LRMC Planning case)'!$B$2</f>
        <v>Calc (LRMC Planning case)</v>
      </c>
      <c r="B144" s="104" t="s">
        <v>31</v>
      </c>
      <c r="C144" s="104" t="s">
        <v>132</v>
      </c>
      <c r="D144" s="82">
        <f ca="1">IF('Input Global'!$B$62="no",SUM(INDIRECT("'"&amp;$A144&amp;"'!D8:D11"),INDIRECT("'"&amp;$A144&amp;"'!D14:D19")),SUM(INDIRECT("'"&amp;$A144&amp;"'!D8"),SUM(INDIRECT("'"&amp;$A144&amp;"'!D11"),INDIRECT("'"&amp;$A144&amp;"'!D14:D19"))))</f>
        <v>140911.23080466312</v>
      </c>
      <c r="E144" s="82">
        <f ca="1">IF('Input Global'!$B$62="no",SUM(INDIRECT("'"&amp;$A144&amp;"'!E8:E11"),INDIRECT("'"&amp;$A144&amp;"'!E14:E19")),SUM(INDIRECT("'"&amp;$A144&amp;"'!E8"),SUM(INDIRECT("'"&amp;$A144&amp;"'!E11"),INDIRECT("'"&amp;$A144&amp;"'!E14:E19"))))</f>
        <v>161302.46970064228</v>
      </c>
      <c r="F144" s="82">
        <f ca="1">IF('Input Global'!$B$62="no",SUM(INDIRECT("'"&amp;$A144&amp;"'!F8:F11"),INDIRECT("'"&amp;$A144&amp;"'!F14:F19")),SUM(INDIRECT("'"&amp;$A144&amp;"'!F8"),SUM(INDIRECT("'"&amp;$A144&amp;"'!F11"),INDIRECT("'"&amp;$A144&amp;"'!F14:F19"))))</f>
        <v>196166.33132691242</v>
      </c>
      <c r="G144" s="82">
        <f ca="1">IF('Input Global'!$B$62="no",SUM(INDIRECT("'"&amp;$A144&amp;"'!G8:G11"),INDIRECT("'"&amp;$A144&amp;"'!G14:G19")),SUM(INDIRECT("'"&amp;$A144&amp;"'!G8"),SUM(INDIRECT("'"&amp;$A144&amp;"'!G11"),INDIRECT("'"&amp;$A144&amp;"'!G14:G19"))))</f>
        <v>194520.73857216953</v>
      </c>
      <c r="H144" s="82">
        <f ca="1">IF('Input Global'!$B$62="no",SUM(INDIRECT("'"&amp;$A144&amp;"'!H8:H11"),INDIRECT("'"&amp;$A144&amp;"'!H14:H19")),SUM(INDIRECT("'"&amp;$A144&amp;"'!H8"),SUM(INDIRECT("'"&amp;$A144&amp;"'!H11"),INDIRECT("'"&amp;$A144&amp;"'!H14:H19"))))</f>
        <v>200946.49894437977</v>
      </c>
      <c r="I144" s="41"/>
    </row>
    <row r="145" spans="1:10" s="35" customFormat="1" x14ac:dyDescent="0.3">
      <c r="A145" s="35" t="str">
        <f ca="1">'Calc (LRMC Slow Rate)'!$B$2</f>
        <v>Calc (LRMC Slow Rate)</v>
      </c>
      <c r="B145" s="104" t="s">
        <v>31</v>
      </c>
      <c r="C145" s="104" t="s">
        <v>132</v>
      </c>
      <c r="D145" s="82">
        <f ca="1">IF('Input Global'!$B$62="no",SUM(INDIRECT("'"&amp;$A145&amp;"'!D8:D11"),INDIRECT("'"&amp;$A145&amp;"'!D14:D19")),SUM(INDIRECT("'"&amp;$A145&amp;"'!D8"),SUM(INDIRECT("'"&amp;$A145&amp;"'!D11"),INDIRECT("'"&amp;$A145&amp;"'!D14:D19"))))</f>
        <v>140911.23080466312</v>
      </c>
      <c r="E145" s="82">
        <f ca="1">IF('Input Global'!$B$62="no",SUM(INDIRECT("'"&amp;$A145&amp;"'!E8:E11"),INDIRECT("'"&amp;$A145&amp;"'!E14:E19")),SUM(INDIRECT("'"&amp;$A145&amp;"'!E8"),SUM(INDIRECT("'"&amp;$A145&amp;"'!E11"),INDIRECT("'"&amp;$A145&amp;"'!E14:E19"))))</f>
        <v>161302.46970064228</v>
      </c>
      <c r="F145" s="82">
        <f ca="1">IF('Input Global'!$B$62="no",SUM(INDIRECT("'"&amp;$A145&amp;"'!F8:F11"),INDIRECT("'"&amp;$A145&amp;"'!F14:F19")),SUM(INDIRECT("'"&amp;$A145&amp;"'!F8"),SUM(INDIRECT("'"&amp;$A145&amp;"'!F11"),INDIRECT("'"&amp;$A145&amp;"'!F14:F19"))))</f>
        <v>196166.33132691242</v>
      </c>
      <c r="G145" s="82">
        <f ca="1">IF('Input Global'!$B$62="no",SUM(INDIRECT("'"&amp;$A145&amp;"'!G8:G11"),INDIRECT("'"&amp;$A145&amp;"'!G14:G19")),SUM(INDIRECT("'"&amp;$A145&amp;"'!G8"),SUM(INDIRECT("'"&amp;$A145&amp;"'!G11"),INDIRECT("'"&amp;$A145&amp;"'!G14:G19"))))</f>
        <v>195309.21806451862</v>
      </c>
      <c r="H145" s="82">
        <f ca="1">IF('Input Global'!$B$62="no",SUM(INDIRECT("'"&amp;$A145&amp;"'!H8:H11"),INDIRECT("'"&amp;$A145&amp;"'!H14:H19")),SUM(INDIRECT("'"&amp;$A145&amp;"'!H8"),SUM(INDIRECT("'"&amp;$A145&amp;"'!H11"),INDIRECT("'"&amp;$A145&amp;"'!H14:H19"))))</f>
        <v>201330.57186996276</v>
      </c>
      <c r="I145" s="41"/>
    </row>
    <row r="146" spans="1:10" s="35" customFormat="1" x14ac:dyDescent="0.3">
      <c r="A146" s="35" t="str">
        <f ca="1">'Calc (Market Planning Case)'!$B$2</f>
        <v>Calc (Market Planning Case)</v>
      </c>
      <c r="B146" s="104" t="s">
        <v>31</v>
      </c>
      <c r="C146" s="104" t="s">
        <v>132</v>
      </c>
      <c r="D146" s="82">
        <f ca="1">IF('Input Global'!$B$62="no",SUM(INDIRECT("'"&amp;$A146&amp;"'!D8:D11"),INDIRECT("'"&amp;$A146&amp;"'!D14:D19")),SUM(INDIRECT("'"&amp;$A146&amp;"'!D8"),SUM(INDIRECT("'"&amp;$A146&amp;"'!D11"),INDIRECT("'"&amp;$A146&amp;"'!D14:D19"))))</f>
        <v>140911.23080466312</v>
      </c>
      <c r="E146" s="82">
        <f ca="1">IF('Input Global'!$B$62="no",SUM(INDIRECT("'"&amp;$A146&amp;"'!E8:E11"),INDIRECT("'"&amp;$A146&amp;"'!E14:E19")),SUM(INDIRECT("'"&amp;$A146&amp;"'!E8"),SUM(INDIRECT("'"&amp;$A146&amp;"'!E11"),INDIRECT("'"&amp;$A146&amp;"'!E14:E19"))))</f>
        <v>161302.46970064228</v>
      </c>
      <c r="F146" s="82">
        <f ca="1">IF('Input Global'!$B$62="no",SUM(INDIRECT("'"&amp;$A146&amp;"'!F8:F11"),INDIRECT("'"&amp;$A146&amp;"'!F14:F19")),SUM(INDIRECT("'"&amp;$A146&amp;"'!F8"),SUM(INDIRECT("'"&amp;$A146&amp;"'!F11"),INDIRECT("'"&amp;$A146&amp;"'!F14:F19"))))</f>
        <v>196166.33132691242</v>
      </c>
      <c r="G146" s="82">
        <f ca="1">IF('Input Global'!$B$62="no",SUM(INDIRECT("'"&amp;$A146&amp;"'!G8:G11"),INDIRECT("'"&amp;$A146&amp;"'!G14:G19")),SUM(INDIRECT("'"&amp;$A146&amp;"'!G8"),SUM(INDIRECT("'"&amp;$A146&amp;"'!G11"),INDIRECT("'"&amp;$A146&amp;"'!G14:G19"))))</f>
        <v>193354.36345898733</v>
      </c>
      <c r="H146" s="82">
        <f ca="1">IF('Input Global'!$B$62="no",SUM(INDIRECT("'"&amp;$A146&amp;"'!H8:H11"),INDIRECT("'"&amp;$A146&amp;"'!H14:H19")),SUM(INDIRECT("'"&amp;$A146&amp;"'!H8"),SUM(INDIRECT("'"&amp;$A146&amp;"'!H11"),INDIRECT("'"&amp;$A146&amp;"'!H14:H19"))))</f>
        <v>199309.71818816612</v>
      </c>
      <c r="I146" s="41"/>
    </row>
    <row r="147" spans="1:10" s="35" customFormat="1" x14ac:dyDescent="0.3">
      <c r="A147" s="35" t="str">
        <f ca="1">'Calc (Market Slow Rate)'!$B$2</f>
        <v>Calc (Market Slow Rate)</v>
      </c>
      <c r="B147" s="104" t="s">
        <v>31</v>
      </c>
      <c r="C147" s="104" t="s">
        <v>132</v>
      </c>
      <c r="D147" s="82">
        <f ca="1">IF('Input Global'!$B$62="no",SUM(INDIRECT("'"&amp;$A147&amp;"'!D8:D11"),INDIRECT("'"&amp;$A147&amp;"'!D14:D19")),SUM(INDIRECT("'"&amp;$A147&amp;"'!D8"),SUM(INDIRECT("'"&amp;$A147&amp;"'!D11"),INDIRECT("'"&amp;$A147&amp;"'!D14:D19"))))</f>
        <v>140911.23080466312</v>
      </c>
      <c r="E147" s="82">
        <f ca="1">IF('Input Global'!$B$62="no",SUM(INDIRECT("'"&amp;$A147&amp;"'!E8:E11"),INDIRECT("'"&amp;$A147&amp;"'!E14:E19")),SUM(INDIRECT("'"&amp;$A147&amp;"'!E8"),SUM(INDIRECT("'"&amp;$A147&amp;"'!E11"),INDIRECT("'"&amp;$A147&amp;"'!E14:E19"))))</f>
        <v>161302.46970064228</v>
      </c>
      <c r="F147" s="82">
        <f ca="1">IF('Input Global'!$B$62="no",SUM(INDIRECT("'"&amp;$A147&amp;"'!F8:F11"),INDIRECT("'"&amp;$A147&amp;"'!F14:F19")),SUM(INDIRECT("'"&amp;$A147&amp;"'!F8"),SUM(INDIRECT("'"&amp;$A147&amp;"'!F11"),INDIRECT("'"&amp;$A147&amp;"'!F14:F19"))))</f>
        <v>196166.33132691242</v>
      </c>
      <c r="G147" s="82">
        <f ca="1">IF('Input Global'!$B$62="no",SUM(INDIRECT("'"&amp;$A147&amp;"'!G8:G11"),INDIRECT("'"&amp;$A147&amp;"'!G14:G19")),SUM(INDIRECT("'"&amp;$A147&amp;"'!G8"),SUM(INDIRECT("'"&amp;$A147&amp;"'!G11"),INDIRECT("'"&amp;$A147&amp;"'!G14:G19"))))</f>
        <v>197193.88623104178</v>
      </c>
      <c r="H147" s="82">
        <f ca="1">IF('Input Global'!$B$62="no",SUM(INDIRECT("'"&amp;$A147&amp;"'!H8:H11"),INDIRECT("'"&amp;$A147&amp;"'!H14:H19")),SUM(INDIRECT("'"&amp;$A147&amp;"'!H8"),SUM(INDIRECT("'"&amp;$A147&amp;"'!H11"),INDIRECT("'"&amp;$A147&amp;"'!H14:H19"))))</f>
        <v>199387.21130718841</v>
      </c>
      <c r="I147" s="41"/>
    </row>
    <row r="148" spans="1:10" s="35" customFormat="1" x14ac:dyDescent="0.3">
      <c r="A148" s="38" t="str">
        <f>Dist2</f>
        <v>Essential</v>
      </c>
      <c r="D148" s="75"/>
      <c r="E148" s="75"/>
      <c r="F148" s="75"/>
      <c r="G148" s="75"/>
      <c r="H148" s="75"/>
      <c r="I148" s="43"/>
    </row>
    <row r="149" spans="1:10" s="35" customFormat="1" x14ac:dyDescent="0.3">
      <c r="A149" s="35" t="str">
        <f ca="1">'Calc (Jurisdiction)'!$B$2</f>
        <v>Calc (Jurisdiction)</v>
      </c>
      <c r="B149" s="104" t="s">
        <v>31</v>
      </c>
      <c r="C149" s="104" t="s">
        <v>132</v>
      </c>
      <c r="D149" s="82">
        <f ca="1">IF('Input Global'!$B$62="no",SUM(INDIRECT("'"&amp;$A149&amp;"'!D23:D26"),INDIRECT("'"&amp;$A149&amp;"'!D29:D34")),SUM(INDIRECT("'"&amp;$A149&amp;"'!D23"),SUM(INDIRECT("'"&amp;$A149&amp;"'!D26"),INDIRECT("'"&amp;$A149&amp;"'!D29:D34"))))</f>
        <v>167577.65535942841</v>
      </c>
      <c r="E149" s="82">
        <f ca="1">IF('Input Global'!$B$62="no",SUM(INDIRECT("'"&amp;$A149&amp;"'!E23:E26"),INDIRECT("'"&amp;$A149&amp;"'!E29:E34")),SUM(INDIRECT("'"&amp;$A149&amp;"'!E23"),SUM(INDIRECT("'"&amp;$A149&amp;"'!E26"),INDIRECT("'"&amp;$A149&amp;"'!E29:E34"))))</f>
        <v>195711.755</v>
      </c>
      <c r="F149" s="82">
        <f ca="1">IF('Input Global'!$B$62="no",SUM(INDIRECT("'"&amp;$A149&amp;"'!F23:F26"),INDIRECT("'"&amp;$A149&amp;"'!F29:F34")),SUM(INDIRECT("'"&amp;$A149&amp;"'!F23"),SUM(INDIRECT("'"&amp;$A149&amp;"'!F26"),INDIRECT("'"&amp;$A149&amp;"'!F29:F34"))))</f>
        <v>238160.55942069041</v>
      </c>
      <c r="G149" s="82">
        <f ca="1">IF('Input Global'!$B$62="no",SUM(INDIRECT("'"&amp;$A149&amp;"'!G23:G26"),INDIRECT("'"&amp;$A149&amp;"'!G29:G34")),SUM(INDIRECT("'"&amp;$A149&amp;"'!G23"),SUM(INDIRECT("'"&amp;$A149&amp;"'!G26"),INDIRECT("'"&amp;$A149&amp;"'!G29:G34"))))</f>
        <v>229469.18166321956</v>
      </c>
      <c r="H149" s="82">
        <f ca="1">IF('Input Global'!$B$62="no",SUM(INDIRECT("'"&amp;$A149&amp;"'!H23:H26"),INDIRECT("'"&amp;$A149&amp;"'!H29:H34")),SUM(INDIRECT("'"&amp;$A149&amp;"'!H23"),SUM(INDIRECT("'"&amp;$A149&amp;"'!H26"),INDIRECT("'"&amp;$A149&amp;"'!H29:H34"))))</f>
        <v>236848.87892474598</v>
      </c>
      <c r="I149" s="43" t="s">
        <v>100</v>
      </c>
      <c r="J149" s="35" t="s">
        <v>100</v>
      </c>
    </row>
    <row r="150" spans="1:10" s="35" customFormat="1" x14ac:dyDescent="0.3">
      <c r="A150" s="35" t="str">
        <f ca="1">'Calc (LRMC Planning case)'!$B$2</f>
        <v>Calc (LRMC Planning case)</v>
      </c>
      <c r="B150" s="104" t="s">
        <v>31</v>
      </c>
      <c r="C150" s="104" t="s">
        <v>132</v>
      </c>
      <c r="D150" s="82">
        <f ca="1">IF('Input Global'!$B$62="no",SUM(INDIRECT("'"&amp;$A150&amp;"'!D23:D26"),INDIRECT("'"&amp;$A150&amp;"'!D29:D34")),SUM(INDIRECT("'"&amp;$A150&amp;"'!D23"),SUM(INDIRECT("'"&amp;$A150&amp;"'!D26"),INDIRECT("'"&amp;$A150&amp;"'!D29:D34"))))</f>
        <v>167577.65535942841</v>
      </c>
      <c r="E150" s="82">
        <f ca="1">IF('Input Global'!$B$62="no",SUM(INDIRECT("'"&amp;$A150&amp;"'!E23:E26"),INDIRECT("'"&amp;$A150&amp;"'!E29:E34")),SUM(INDIRECT("'"&amp;$A150&amp;"'!E23"),SUM(INDIRECT("'"&amp;$A150&amp;"'!E26"),INDIRECT("'"&amp;$A150&amp;"'!E29:E34"))))</f>
        <v>195711.755</v>
      </c>
      <c r="F150" s="82">
        <f ca="1">IF('Input Global'!$B$62="no",SUM(INDIRECT("'"&amp;$A150&amp;"'!F23:F26"),INDIRECT("'"&amp;$A150&amp;"'!F29:F34")),SUM(INDIRECT("'"&amp;$A150&amp;"'!F23"),SUM(INDIRECT("'"&amp;$A150&amp;"'!F26"),INDIRECT("'"&amp;$A150&amp;"'!F29:F34"))))</f>
        <v>238160.55942069041</v>
      </c>
      <c r="G150" s="82">
        <f ca="1">IF('Input Global'!$B$62="no",SUM(INDIRECT("'"&amp;$A150&amp;"'!G23:G26"),INDIRECT("'"&amp;$A150&amp;"'!G29:G34")),SUM(INDIRECT("'"&amp;$A150&amp;"'!G23"),SUM(INDIRECT("'"&amp;$A150&amp;"'!G26"),INDIRECT("'"&amp;$A150&amp;"'!G29:G34"))))</f>
        <v>229469.18166321956</v>
      </c>
      <c r="H150" s="82">
        <f ca="1">IF('Input Global'!$B$62="no",SUM(INDIRECT("'"&amp;$A150&amp;"'!H23:H26"),INDIRECT("'"&amp;$A150&amp;"'!H29:H34")),SUM(INDIRECT("'"&amp;$A150&amp;"'!H23"),SUM(INDIRECT("'"&amp;$A150&amp;"'!H26"),INDIRECT("'"&amp;$A150&amp;"'!H29:H34"))))</f>
        <v>236848.87892474598</v>
      </c>
      <c r="I150" s="43"/>
    </row>
    <row r="151" spans="1:10" s="35" customFormat="1" x14ac:dyDescent="0.3">
      <c r="A151" s="35" t="str">
        <f ca="1">'Calc (LRMC Slow Rate)'!$B$2</f>
        <v>Calc (LRMC Slow Rate)</v>
      </c>
      <c r="B151" s="104" t="s">
        <v>31</v>
      </c>
      <c r="C151" s="104" t="s">
        <v>132</v>
      </c>
      <c r="D151" s="82">
        <f ca="1">IF('Input Global'!$B$62="no",SUM(INDIRECT("'"&amp;$A151&amp;"'!D23:D26"),INDIRECT("'"&amp;$A151&amp;"'!D29:D34")),SUM(INDIRECT("'"&amp;$A151&amp;"'!D23"),SUM(INDIRECT("'"&amp;$A151&amp;"'!D26"),INDIRECT("'"&amp;$A151&amp;"'!D29:D34"))))</f>
        <v>167577.65535942841</v>
      </c>
      <c r="E151" s="82">
        <f ca="1">IF('Input Global'!$B$62="no",SUM(INDIRECT("'"&amp;$A151&amp;"'!E23:E26"),INDIRECT("'"&amp;$A151&amp;"'!E29:E34")),SUM(INDIRECT("'"&amp;$A151&amp;"'!E23"),SUM(INDIRECT("'"&amp;$A151&amp;"'!E26"),INDIRECT("'"&amp;$A151&amp;"'!E29:E34"))))</f>
        <v>195711.755</v>
      </c>
      <c r="F151" s="82">
        <f ca="1">IF('Input Global'!$B$62="no",SUM(INDIRECT("'"&amp;$A151&amp;"'!F23:F26"),INDIRECT("'"&amp;$A151&amp;"'!F29:F34")),SUM(INDIRECT("'"&amp;$A151&amp;"'!F23"),SUM(INDIRECT("'"&amp;$A151&amp;"'!F26"),INDIRECT("'"&amp;$A151&amp;"'!F29:F34"))))</f>
        <v>238160.55942069041</v>
      </c>
      <c r="G151" s="82">
        <f ca="1">IF('Input Global'!$B$62="no",SUM(INDIRECT("'"&amp;$A151&amp;"'!G23:G26"),INDIRECT("'"&amp;$A151&amp;"'!G29:G34")),SUM(INDIRECT("'"&amp;$A151&amp;"'!G23"),SUM(INDIRECT("'"&amp;$A151&amp;"'!G26"),INDIRECT("'"&amp;$A151&amp;"'!G29:G34"))))</f>
        <v>230198.19735020696</v>
      </c>
      <c r="H151" s="82">
        <f ca="1">IF('Input Global'!$B$62="no",SUM(INDIRECT("'"&amp;$A151&amp;"'!H23:H26"),INDIRECT("'"&amp;$A151&amp;"'!H29:H34")),SUM(INDIRECT("'"&amp;$A151&amp;"'!H23"),SUM(INDIRECT("'"&amp;$A151&amp;"'!H26"),INDIRECT("'"&amp;$A151&amp;"'!H29:H34"))))</f>
        <v>238728.4490646628</v>
      </c>
      <c r="I151" s="43"/>
    </row>
    <row r="152" spans="1:10" s="35" customFormat="1" x14ac:dyDescent="0.3">
      <c r="A152" s="35" t="str">
        <f ca="1">'Calc (Market Planning Case)'!$B$2</f>
        <v>Calc (Market Planning Case)</v>
      </c>
      <c r="B152" s="104" t="s">
        <v>31</v>
      </c>
      <c r="C152" s="104" t="s">
        <v>132</v>
      </c>
      <c r="D152" s="82">
        <f ca="1">IF('Input Global'!$B$62="no",SUM(INDIRECT("'"&amp;$A152&amp;"'!D23:D26"),INDIRECT("'"&amp;$A152&amp;"'!D29:D34")),SUM(INDIRECT("'"&amp;$A152&amp;"'!D23"),SUM(INDIRECT("'"&amp;$A152&amp;"'!D26"),INDIRECT("'"&amp;$A152&amp;"'!D29:D34"))))</f>
        <v>167577.65535942841</v>
      </c>
      <c r="E152" s="82">
        <f ca="1">IF('Input Global'!$B$62="no",SUM(INDIRECT("'"&amp;$A152&amp;"'!E23:E26"),INDIRECT("'"&amp;$A152&amp;"'!E29:E34")),SUM(INDIRECT("'"&amp;$A152&amp;"'!E23"),SUM(INDIRECT("'"&amp;$A152&amp;"'!E26"),INDIRECT("'"&amp;$A152&amp;"'!E29:E34"))))</f>
        <v>195711.755</v>
      </c>
      <c r="F152" s="82">
        <f ca="1">IF('Input Global'!$B$62="no",SUM(INDIRECT("'"&amp;$A152&amp;"'!F23:F26"),INDIRECT("'"&amp;$A152&amp;"'!F29:F34")),SUM(INDIRECT("'"&amp;$A152&amp;"'!F23"),SUM(INDIRECT("'"&amp;$A152&amp;"'!F26"),INDIRECT("'"&amp;$A152&amp;"'!F29:F34"))))</f>
        <v>238160.55942069041</v>
      </c>
      <c r="G152" s="82">
        <f ca="1">IF('Input Global'!$B$62="no",SUM(INDIRECT("'"&amp;$A152&amp;"'!G23:G26"),INDIRECT("'"&amp;$A152&amp;"'!G29:G34")),SUM(INDIRECT("'"&amp;$A152&amp;"'!G23"),SUM(INDIRECT("'"&amp;$A152&amp;"'!G26"),INDIRECT("'"&amp;$A152&amp;"'!G29:G34"))))</f>
        <v>228144.19943151515</v>
      </c>
      <c r="H152" s="82">
        <f ca="1">IF('Input Global'!$B$62="no",SUM(INDIRECT("'"&amp;$A152&amp;"'!H23:H26"),INDIRECT("'"&amp;$A152&amp;"'!H29:H34")),SUM(INDIRECT("'"&amp;$A152&amp;"'!H23"),SUM(INDIRECT("'"&amp;$A152&amp;"'!H26"),INDIRECT("'"&amp;$A152&amp;"'!H29:H34"))))</f>
        <v>234109.42093774476</v>
      </c>
      <c r="I152" s="43"/>
    </row>
    <row r="153" spans="1:10" s="35" customFormat="1" x14ac:dyDescent="0.3">
      <c r="A153" s="35" t="str">
        <f ca="1">'Calc (Market Slow Rate)'!$B$2</f>
        <v>Calc (Market Slow Rate)</v>
      </c>
      <c r="B153" s="104" t="s">
        <v>31</v>
      </c>
      <c r="C153" s="104" t="s">
        <v>132</v>
      </c>
      <c r="D153" s="82">
        <f ca="1">IF('Input Global'!$B$62="no",SUM(INDIRECT("'"&amp;$A153&amp;"'!D23:D26"),INDIRECT("'"&amp;$A153&amp;"'!D29:D34")),SUM(INDIRECT("'"&amp;$A153&amp;"'!D23"),SUM(INDIRECT("'"&amp;$A153&amp;"'!D26"),INDIRECT("'"&amp;$A153&amp;"'!D29:D34"))))</f>
        <v>167577.65535942841</v>
      </c>
      <c r="E153" s="82">
        <f ca="1">IF('Input Global'!$B$62="no",SUM(INDIRECT("'"&amp;$A153&amp;"'!E23:E26"),INDIRECT("'"&amp;$A153&amp;"'!E29:E34")),SUM(INDIRECT("'"&amp;$A153&amp;"'!E23"),SUM(INDIRECT("'"&amp;$A153&amp;"'!E26"),INDIRECT("'"&amp;$A153&amp;"'!E29:E34"))))</f>
        <v>195711.755</v>
      </c>
      <c r="F153" s="82">
        <f ca="1">IF('Input Global'!$B$62="no",SUM(INDIRECT("'"&amp;$A153&amp;"'!F23:F26"),INDIRECT("'"&amp;$A153&amp;"'!F29:F34")),SUM(INDIRECT("'"&amp;$A153&amp;"'!F23"),SUM(INDIRECT("'"&amp;$A153&amp;"'!F26"),INDIRECT("'"&amp;$A153&amp;"'!F29:F34"))))</f>
        <v>238160.55942069041</v>
      </c>
      <c r="G153" s="82">
        <f ca="1">IF('Input Global'!$B$62="no",SUM(INDIRECT("'"&amp;$A153&amp;"'!G23:G26"),INDIRECT("'"&amp;$A153&amp;"'!G29:G34")),SUM(INDIRECT("'"&amp;$A153&amp;"'!G23"),SUM(INDIRECT("'"&amp;$A153&amp;"'!G26"),INDIRECT("'"&amp;$A153&amp;"'!G29:G34"))))</f>
        <v>230794.19574698119</v>
      </c>
      <c r="H153" s="82">
        <f ca="1">IF('Input Global'!$B$62="no",SUM(INDIRECT("'"&amp;$A153&amp;"'!H23:H26"),INDIRECT("'"&amp;$A153&amp;"'!H29:H34")),SUM(INDIRECT("'"&amp;$A153&amp;"'!H23"),SUM(INDIRECT("'"&amp;$A153&amp;"'!H26"),INDIRECT("'"&amp;$A153&amp;"'!H29:H34"))))</f>
        <v>234262.19177319008</v>
      </c>
    </row>
    <row r="154" spans="1:10" s="35" customFormat="1" x14ac:dyDescent="0.3">
      <c r="A154" s="38" t="str">
        <f>Dist3</f>
        <v>Endeavour</v>
      </c>
      <c r="D154" s="76"/>
      <c r="E154" s="76"/>
      <c r="F154" s="76"/>
      <c r="G154" s="76"/>
      <c r="H154" s="76"/>
    </row>
    <row r="155" spans="1:10" s="35" customFormat="1" x14ac:dyDescent="0.3">
      <c r="A155" s="35" t="str">
        <f ca="1">'Calc (Jurisdiction)'!$B$2</f>
        <v>Calc (Jurisdiction)</v>
      </c>
      <c r="B155" s="104" t="s">
        <v>31</v>
      </c>
      <c r="C155" s="104" t="s">
        <v>132</v>
      </c>
      <c r="D155" s="82">
        <f ca="1">IF('Input Global'!$B$62="no",SUM(INDIRECT("'"&amp;$A155&amp;"'!D38:D41"),INDIRECT("'"&amp;$A155&amp;"'!D44:D49")),SUM(INDIRECT("'"&amp;$A155&amp;"'!D38"),SUM(INDIRECT("'"&amp;$A155&amp;"'!D41"),INDIRECT("'"&amp;$A155&amp;"'!D44:D49"))))</f>
        <v>142179.41136675337</v>
      </c>
      <c r="E155" s="82">
        <f ca="1">IF('Input Global'!$B$62="no",SUM(INDIRECT("'"&amp;$A155&amp;"'!E38:E41"),INDIRECT("'"&amp;$A155&amp;"'!E44:E49")),SUM(INDIRECT("'"&amp;$A155&amp;"'!E38"),SUM(INDIRECT("'"&amp;$A155&amp;"'!E41"),INDIRECT("'"&amp;$A155&amp;"'!E44:E49"))))</f>
        <v>160454.3784218998</v>
      </c>
      <c r="F155" s="82">
        <f ca="1">IF('Input Global'!$B$62="no",SUM(INDIRECT("'"&amp;$A155&amp;"'!F38:F41"),INDIRECT("'"&amp;$A155&amp;"'!F44:F49")),SUM(INDIRECT("'"&amp;$A155&amp;"'!F38"),SUM(INDIRECT("'"&amp;$A155&amp;"'!F41"),INDIRECT("'"&amp;$A155&amp;"'!F44:F49"))))</f>
        <v>182216.13996376123</v>
      </c>
      <c r="G155" s="82">
        <f ca="1">IF('Input Global'!$B$62="no",SUM(INDIRECT("'"&amp;$A155&amp;"'!G38:G41"),INDIRECT("'"&amp;$A155&amp;"'!G44:G49")),SUM(INDIRECT("'"&amp;$A155&amp;"'!G38"),SUM(INDIRECT("'"&amp;$A155&amp;"'!G41"),INDIRECT("'"&amp;$A155&amp;"'!G44:G49"))))</f>
        <v>177201.41246585886</v>
      </c>
      <c r="H155" s="82">
        <f ca="1">IF('Input Global'!$B$62="no",SUM(INDIRECT("'"&amp;$A155&amp;"'!H38:H41"),INDIRECT("'"&amp;$A155&amp;"'!H44:H49")),SUM(INDIRECT("'"&amp;$A155&amp;"'!H38"),SUM(INDIRECT("'"&amp;$A155&amp;"'!H41"),INDIRECT("'"&amp;$A155&amp;"'!H44:H49"))))</f>
        <v>181998.27164254308</v>
      </c>
    </row>
    <row r="156" spans="1:10" s="35" customFormat="1" x14ac:dyDescent="0.3">
      <c r="A156" s="35" t="str">
        <f ca="1">'Calc (LRMC Planning case)'!$B$2</f>
        <v>Calc (LRMC Planning case)</v>
      </c>
      <c r="B156" s="104" t="s">
        <v>31</v>
      </c>
      <c r="C156" s="104" t="s">
        <v>132</v>
      </c>
      <c r="D156" s="82">
        <f ca="1">IF('Input Global'!$B$62="no",SUM(INDIRECT("'"&amp;$A156&amp;"'!D38:D41"),INDIRECT("'"&amp;$A156&amp;"'!D44:D49")),SUM(INDIRECT("'"&amp;$A156&amp;"'!D38"),SUM(INDIRECT("'"&amp;$A156&amp;"'!D41"),INDIRECT("'"&amp;$A156&amp;"'!D44:D49"))))</f>
        <v>142179.41136675337</v>
      </c>
      <c r="E156" s="82">
        <f ca="1">IF('Input Global'!$B$62="no",SUM(INDIRECT("'"&amp;$A156&amp;"'!E38:E41"),INDIRECT("'"&amp;$A156&amp;"'!E44:E49")),SUM(INDIRECT("'"&amp;$A156&amp;"'!E38"),SUM(INDIRECT("'"&amp;$A156&amp;"'!E41"),INDIRECT("'"&amp;$A156&amp;"'!E44:E49"))))</f>
        <v>160454.3784218998</v>
      </c>
      <c r="F156" s="82">
        <f ca="1">IF('Input Global'!$B$62="no",SUM(INDIRECT("'"&amp;$A156&amp;"'!F38:F41"),INDIRECT("'"&amp;$A156&amp;"'!F44:F49")),SUM(INDIRECT("'"&amp;$A156&amp;"'!F38"),SUM(INDIRECT("'"&amp;$A156&amp;"'!F41"),INDIRECT("'"&amp;$A156&amp;"'!F44:F49"))))</f>
        <v>182216.13996376123</v>
      </c>
      <c r="G156" s="82">
        <f ca="1">IF('Input Global'!$B$62="no",SUM(INDIRECT("'"&amp;$A156&amp;"'!G38:G41"),INDIRECT("'"&amp;$A156&amp;"'!G44:G49")),SUM(INDIRECT("'"&amp;$A156&amp;"'!G38"),SUM(INDIRECT("'"&amp;$A156&amp;"'!G41"),INDIRECT("'"&amp;$A156&amp;"'!G44:G49"))))</f>
        <v>177201.41246585886</v>
      </c>
      <c r="H156" s="82">
        <f ca="1">IF('Input Global'!$B$62="no",SUM(INDIRECT("'"&amp;$A156&amp;"'!H38:H41"),INDIRECT("'"&amp;$A156&amp;"'!H44:H49")),SUM(INDIRECT("'"&amp;$A156&amp;"'!H38"),SUM(INDIRECT("'"&amp;$A156&amp;"'!H41"),INDIRECT("'"&amp;$A156&amp;"'!H44:H49"))))</f>
        <v>181998.27164254308</v>
      </c>
    </row>
    <row r="157" spans="1:10" s="35" customFormat="1" x14ac:dyDescent="0.3">
      <c r="A157" s="35" t="str">
        <f ca="1">'Calc (LRMC Slow Rate)'!$B$2</f>
        <v>Calc (LRMC Slow Rate)</v>
      </c>
      <c r="B157" s="104" t="s">
        <v>31</v>
      </c>
      <c r="C157" s="104" t="s">
        <v>132</v>
      </c>
      <c r="D157" s="82">
        <f ca="1">IF('Input Global'!$B$62="no",SUM(INDIRECT("'"&amp;$A157&amp;"'!D38:D41"),INDIRECT("'"&amp;$A157&amp;"'!D44:D49")),SUM(INDIRECT("'"&amp;$A157&amp;"'!D38"),SUM(INDIRECT("'"&amp;$A157&amp;"'!D41"),INDIRECT("'"&amp;$A157&amp;"'!D44:D49"))))</f>
        <v>142179.41136675337</v>
      </c>
      <c r="E157" s="82">
        <f ca="1">IF('Input Global'!$B$62="no",SUM(INDIRECT("'"&amp;$A157&amp;"'!E38:E41"),INDIRECT("'"&amp;$A157&amp;"'!E44:E49")),SUM(INDIRECT("'"&amp;$A157&amp;"'!E38"),SUM(INDIRECT("'"&amp;$A157&amp;"'!E41"),INDIRECT("'"&amp;$A157&amp;"'!E44:E49"))))</f>
        <v>160454.3784218998</v>
      </c>
      <c r="F157" s="82">
        <f ca="1">IF('Input Global'!$B$62="no",SUM(INDIRECT("'"&amp;$A157&amp;"'!F38:F41"),INDIRECT("'"&amp;$A157&amp;"'!F44:F49")),SUM(INDIRECT("'"&amp;$A157&amp;"'!F38"),SUM(INDIRECT("'"&amp;$A157&amp;"'!F41"),INDIRECT("'"&amp;$A157&amp;"'!F44:F49"))))</f>
        <v>182216.13996376123</v>
      </c>
      <c r="G157" s="82">
        <f ca="1">IF('Input Global'!$B$62="no",SUM(INDIRECT("'"&amp;$A157&amp;"'!G38:G41"),INDIRECT("'"&amp;$A157&amp;"'!G44:G49")),SUM(INDIRECT("'"&amp;$A157&amp;"'!G38"),SUM(INDIRECT("'"&amp;$A157&amp;"'!G41"),INDIRECT("'"&amp;$A157&amp;"'!G44:G49"))))</f>
        <v>178374.96459768241</v>
      </c>
      <c r="H157" s="82">
        <f ca="1">IF('Input Global'!$B$62="no",SUM(INDIRECT("'"&amp;$A157&amp;"'!H38:H41"),INDIRECT("'"&amp;$A157&amp;"'!H44:H49")),SUM(INDIRECT("'"&amp;$A157&amp;"'!H38"),SUM(INDIRECT("'"&amp;$A157&amp;"'!H41"),INDIRECT("'"&amp;$A157&amp;"'!H44:H49"))))</f>
        <v>182374.83053923497</v>
      </c>
    </row>
    <row r="158" spans="1:10" s="35" customFormat="1" x14ac:dyDescent="0.3">
      <c r="A158" s="35" t="str">
        <f ca="1">'Calc (Market Planning Case)'!$B$2</f>
        <v>Calc (Market Planning Case)</v>
      </c>
      <c r="B158" s="104" t="s">
        <v>31</v>
      </c>
      <c r="C158" s="104" t="s">
        <v>132</v>
      </c>
      <c r="D158" s="82">
        <f ca="1">IF('Input Global'!$B$62="no",SUM(INDIRECT("'"&amp;$A158&amp;"'!D38:D41"),INDIRECT("'"&amp;$A158&amp;"'!D44:D49")),SUM(INDIRECT("'"&amp;$A158&amp;"'!D38"),SUM(INDIRECT("'"&amp;$A158&amp;"'!D41"),INDIRECT("'"&amp;$A158&amp;"'!D44:D49"))))</f>
        <v>142179.41136675337</v>
      </c>
      <c r="E158" s="82">
        <f ca="1">IF('Input Global'!$B$62="no",SUM(INDIRECT("'"&amp;$A158&amp;"'!E38:E41"),INDIRECT("'"&amp;$A158&amp;"'!E44:E49")),SUM(INDIRECT("'"&amp;$A158&amp;"'!E38"),SUM(INDIRECT("'"&amp;$A158&amp;"'!E41"),INDIRECT("'"&amp;$A158&amp;"'!E44:E49"))))</f>
        <v>160454.3784218998</v>
      </c>
      <c r="F158" s="82">
        <f ca="1">IF('Input Global'!$B$62="no",SUM(INDIRECT("'"&amp;$A158&amp;"'!F38:F41"),INDIRECT("'"&amp;$A158&amp;"'!F44:F49")),SUM(INDIRECT("'"&amp;$A158&amp;"'!F38"),SUM(INDIRECT("'"&amp;$A158&amp;"'!F41"),INDIRECT("'"&amp;$A158&amp;"'!F44:F49"))))</f>
        <v>182216.13996376123</v>
      </c>
      <c r="G158" s="82">
        <f ca="1">IF('Input Global'!$B$62="no",SUM(INDIRECT("'"&amp;$A158&amp;"'!G38:G41"),INDIRECT("'"&amp;$A158&amp;"'!G44:G49")),SUM(INDIRECT("'"&amp;$A158&amp;"'!G38"),SUM(INDIRECT("'"&amp;$A158&amp;"'!G41"),INDIRECT("'"&amp;$A158&amp;"'!G44:G49"))))</f>
        <v>175595.92585804459</v>
      </c>
      <c r="H158" s="82">
        <f ca="1">IF('Input Global'!$B$62="no",SUM(INDIRECT("'"&amp;$A158&amp;"'!H38:H41"),INDIRECT("'"&amp;$A158&amp;"'!H44:H49")),SUM(INDIRECT("'"&amp;$A158&amp;"'!H38"),SUM(INDIRECT("'"&amp;$A158&amp;"'!H41"),INDIRECT("'"&amp;$A158&amp;"'!H44:H49"))))</f>
        <v>179908.30354522038</v>
      </c>
    </row>
    <row r="159" spans="1:10" s="35" customFormat="1" x14ac:dyDescent="0.3">
      <c r="A159" s="35" t="str">
        <f ca="1">'Calc (Market Slow Rate)'!$B$2</f>
        <v>Calc (Market Slow Rate)</v>
      </c>
      <c r="B159" s="104" t="s">
        <v>31</v>
      </c>
      <c r="C159" s="104" t="s">
        <v>132</v>
      </c>
      <c r="D159" s="82">
        <f ca="1">IF('Input Global'!$B$62="no",SUM(INDIRECT("'"&amp;$A159&amp;"'!D38:D41"),INDIRECT("'"&amp;$A159&amp;"'!D44:D49")),SUM(INDIRECT("'"&amp;$A159&amp;"'!D38"),SUM(INDIRECT("'"&amp;$A159&amp;"'!D41"),INDIRECT("'"&amp;$A159&amp;"'!D44:D49"))))</f>
        <v>142179.41136675337</v>
      </c>
      <c r="E159" s="82">
        <f ca="1">IF('Input Global'!$B$62="no",SUM(INDIRECT("'"&amp;$A159&amp;"'!E38:E41"),INDIRECT("'"&amp;$A159&amp;"'!E44:E49")),SUM(INDIRECT("'"&amp;$A159&amp;"'!E38"),SUM(INDIRECT("'"&amp;$A159&amp;"'!E41"),INDIRECT("'"&amp;$A159&amp;"'!E44:E49"))))</f>
        <v>160454.3784218998</v>
      </c>
      <c r="F159" s="82">
        <f ca="1">IF('Input Global'!$B$62="no",SUM(INDIRECT("'"&amp;$A159&amp;"'!F38:F41"),INDIRECT("'"&amp;$A159&amp;"'!F44:F49")),SUM(INDIRECT("'"&amp;$A159&amp;"'!F38"),SUM(INDIRECT("'"&amp;$A159&amp;"'!F41"),INDIRECT("'"&amp;$A159&amp;"'!F44:F49"))))</f>
        <v>182216.13996376123</v>
      </c>
      <c r="G159" s="82">
        <f ca="1">IF('Input Global'!$B$62="no",SUM(INDIRECT("'"&amp;$A159&amp;"'!G38:G41"),INDIRECT("'"&amp;$A159&amp;"'!G44:G49")),SUM(INDIRECT("'"&amp;$A159&amp;"'!G38"),SUM(INDIRECT("'"&amp;$A159&amp;"'!G41"),INDIRECT("'"&amp;$A159&amp;"'!G44:G49"))))</f>
        <v>178381.64878042185</v>
      </c>
      <c r="H159" s="82">
        <f ca="1">IF('Input Global'!$B$62="no",SUM(INDIRECT("'"&amp;$A159&amp;"'!H38:H41"),INDIRECT("'"&amp;$A159&amp;"'!H44:H49")),SUM(INDIRECT("'"&amp;$A159&amp;"'!H38"),SUM(INDIRECT("'"&amp;$A159&amp;"'!H41"),INDIRECT("'"&amp;$A159&amp;"'!H44:H49"))))</f>
        <v>179991.59455138529</v>
      </c>
    </row>
    <row r="160" spans="1:10" s="35" customFormat="1" hidden="1" x14ac:dyDescent="0.3">
      <c r="A160" s="38" t="str">
        <f>Dist4</f>
        <v>blank</v>
      </c>
      <c r="D160" s="76"/>
      <c r="E160" s="76"/>
      <c r="F160" s="76"/>
      <c r="G160" s="76"/>
      <c r="H160" s="76"/>
    </row>
    <row r="161" spans="1:14" s="35" customFormat="1" hidden="1" x14ac:dyDescent="0.3">
      <c r="A161" s="35" t="str">
        <f ca="1">'Calc (Jurisdiction)'!$B$2</f>
        <v>Calc (Jurisdiction)</v>
      </c>
      <c r="B161" s="104" t="s">
        <v>31</v>
      </c>
      <c r="C161" s="104" t="s">
        <v>132</v>
      </c>
      <c r="D161" s="82">
        <f ca="1">IF('Input Global'!$B$62="no",SUM(INDIRECT("'"&amp;$A161&amp;"'!D53:D56"),INDIRECT("'"&amp;$A161&amp;"'!D59:D64")),SUM(INDIRECT("'"&amp;$A161&amp;"'!D53"),SUM(INDIRECT("'"&amp;$A161&amp;"'!D56"),INDIRECT("'"&amp;$A161&amp;"'!D59:D64"))))</f>
        <v>0</v>
      </c>
      <c r="E161" s="82">
        <f ca="1">IF('Input Global'!$B$62="no",SUM(INDIRECT("'"&amp;$A161&amp;"'!E53:E56"),INDIRECT("'"&amp;$A161&amp;"'!E59:E64")),SUM(INDIRECT("'"&amp;$A161&amp;"'!E53"),SUM(INDIRECT("'"&amp;$A161&amp;"'!E56"),INDIRECT("'"&amp;$A161&amp;"'!E59:E64"))))</f>
        <v>0</v>
      </c>
      <c r="F161" s="82">
        <f ca="1">IF('Input Global'!$B$62="no",SUM(INDIRECT("'"&amp;$A161&amp;"'!F53:F56"),INDIRECT("'"&amp;$A161&amp;"'!F59:F64")),SUM(INDIRECT("'"&amp;$A161&amp;"'!F53"),SUM(INDIRECT("'"&amp;$A161&amp;"'!F56"),INDIRECT("'"&amp;$A161&amp;"'!F59:F64"))))</f>
        <v>0</v>
      </c>
      <c r="G161" s="82">
        <f ca="1">IF('Input Global'!$B$62="no",SUM(INDIRECT("'"&amp;$A161&amp;"'!G53:G56"),INDIRECT("'"&amp;$A161&amp;"'!G59:G64")),SUM(INDIRECT("'"&amp;$A161&amp;"'!G53"),SUM(INDIRECT("'"&amp;$A161&amp;"'!G56"),INDIRECT("'"&amp;$A161&amp;"'!G59:G64"))))</f>
        <v>0</v>
      </c>
      <c r="H161" s="82">
        <f ca="1">IF('Input Global'!$B$62="no",SUM(INDIRECT("'"&amp;$A161&amp;"'!H53:H56"),INDIRECT("'"&amp;$A161&amp;"'!H59:H64")),SUM(INDIRECT("'"&amp;$A161&amp;"'!H53"),SUM(INDIRECT("'"&amp;$A161&amp;"'!H56"),INDIRECT("'"&amp;$A161&amp;"'!H59:H64"))))</f>
        <v>0</v>
      </c>
    </row>
    <row r="162" spans="1:14" s="35" customFormat="1" hidden="1" x14ac:dyDescent="0.3">
      <c r="A162" s="35" t="str">
        <f ca="1">'Calc (LRMC Planning case)'!$B$2</f>
        <v>Calc (LRMC Planning case)</v>
      </c>
      <c r="B162" s="104" t="s">
        <v>31</v>
      </c>
      <c r="C162" s="104" t="s">
        <v>132</v>
      </c>
      <c r="D162" s="82">
        <f ca="1">IF('Input Global'!$B$62="no",SUM(INDIRECT("'"&amp;$A162&amp;"'!D53:D56"),INDIRECT("'"&amp;$A162&amp;"'!D59:D64")),SUM(INDIRECT("'"&amp;$A162&amp;"'!D53"),SUM(INDIRECT("'"&amp;$A162&amp;"'!D56"),INDIRECT("'"&amp;$A162&amp;"'!D59:D64"))))</f>
        <v>0</v>
      </c>
      <c r="E162" s="82">
        <f ca="1">IF('Input Global'!$B$62="no",SUM(INDIRECT("'"&amp;$A162&amp;"'!E53:E56"),INDIRECT("'"&amp;$A162&amp;"'!E59:E64")),SUM(INDIRECT("'"&amp;$A162&amp;"'!E53"),SUM(INDIRECT("'"&amp;$A162&amp;"'!E56"),INDIRECT("'"&amp;$A162&amp;"'!E59:E64"))))</f>
        <v>0</v>
      </c>
      <c r="F162" s="82">
        <f ca="1">IF('Input Global'!$B$62="no",SUM(INDIRECT("'"&amp;$A162&amp;"'!F53:F56"),INDIRECT("'"&amp;$A162&amp;"'!F59:F64")),SUM(INDIRECT("'"&amp;$A162&amp;"'!F53"),SUM(INDIRECT("'"&amp;$A162&amp;"'!F56"),INDIRECT("'"&amp;$A162&amp;"'!F59:F64"))))</f>
        <v>0</v>
      </c>
      <c r="G162" s="82">
        <f ca="1">IF('Input Global'!$B$62="no",SUM(INDIRECT("'"&amp;$A162&amp;"'!G53:G56"),INDIRECT("'"&amp;$A162&amp;"'!G59:G64")),SUM(INDIRECT("'"&amp;$A162&amp;"'!G53"),SUM(INDIRECT("'"&amp;$A162&amp;"'!G56"),INDIRECT("'"&amp;$A162&amp;"'!G59:G64"))))</f>
        <v>0</v>
      </c>
      <c r="H162" s="82">
        <f ca="1">IF('Input Global'!$B$62="no",SUM(INDIRECT("'"&amp;$A162&amp;"'!H53:H56"),INDIRECT("'"&amp;$A162&amp;"'!H59:H64")),SUM(INDIRECT("'"&amp;$A162&amp;"'!H53"),SUM(INDIRECT("'"&amp;$A162&amp;"'!H56"),INDIRECT("'"&amp;$A162&amp;"'!H59:H64"))))</f>
        <v>0</v>
      </c>
    </row>
    <row r="163" spans="1:14" s="35" customFormat="1" hidden="1" x14ac:dyDescent="0.3">
      <c r="A163" s="35" t="str">
        <f ca="1">'Calc (LRMC Slow Rate)'!$B$2</f>
        <v>Calc (LRMC Slow Rate)</v>
      </c>
      <c r="B163" s="104" t="s">
        <v>31</v>
      </c>
      <c r="C163" s="104" t="s">
        <v>132</v>
      </c>
      <c r="D163" s="82">
        <f ca="1">IF('Input Global'!$B$62="no",SUM(INDIRECT("'"&amp;$A163&amp;"'!D53:D56"),INDIRECT("'"&amp;$A163&amp;"'!D59:D64")),SUM(INDIRECT("'"&amp;$A163&amp;"'!D53"),SUM(INDIRECT("'"&amp;$A163&amp;"'!D56"),INDIRECT("'"&amp;$A163&amp;"'!D59:D64"))))</f>
        <v>0</v>
      </c>
      <c r="E163" s="82">
        <f ca="1">IF('Input Global'!$B$62="no",SUM(INDIRECT("'"&amp;$A163&amp;"'!E53:E56"),INDIRECT("'"&amp;$A163&amp;"'!E59:E64")),SUM(INDIRECT("'"&amp;$A163&amp;"'!E53"),SUM(INDIRECT("'"&amp;$A163&amp;"'!E56"),INDIRECT("'"&amp;$A163&amp;"'!E59:E64"))))</f>
        <v>0</v>
      </c>
      <c r="F163" s="82">
        <f ca="1">IF('Input Global'!$B$62="no",SUM(INDIRECT("'"&amp;$A163&amp;"'!F53:F56"),INDIRECT("'"&amp;$A163&amp;"'!F59:F64")),SUM(INDIRECT("'"&amp;$A163&amp;"'!F53"),SUM(INDIRECT("'"&amp;$A163&amp;"'!F56"),INDIRECT("'"&amp;$A163&amp;"'!F59:F64"))))</f>
        <v>0</v>
      </c>
      <c r="G163" s="82">
        <f ca="1">IF('Input Global'!$B$62="no",SUM(INDIRECT("'"&amp;$A163&amp;"'!G53:G56"),INDIRECT("'"&amp;$A163&amp;"'!G59:G64")),SUM(INDIRECT("'"&amp;$A163&amp;"'!G53"),SUM(INDIRECT("'"&amp;$A163&amp;"'!G56"),INDIRECT("'"&amp;$A163&amp;"'!G59:G64"))))</f>
        <v>0</v>
      </c>
      <c r="H163" s="82">
        <f ca="1">IF('Input Global'!$B$62="no",SUM(INDIRECT("'"&amp;$A163&amp;"'!H53:H56"),INDIRECT("'"&amp;$A163&amp;"'!H59:H64")),SUM(INDIRECT("'"&amp;$A163&amp;"'!H53"),SUM(INDIRECT("'"&amp;$A163&amp;"'!H56"),INDIRECT("'"&amp;$A163&amp;"'!H59:H64"))))</f>
        <v>0</v>
      </c>
    </row>
    <row r="164" spans="1:14" s="35" customFormat="1" hidden="1" x14ac:dyDescent="0.3">
      <c r="A164" s="35" t="str">
        <f ca="1">'Calc (Market Planning Case)'!$B$2</f>
        <v>Calc (Market Planning Case)</v>
      </c>
      <c r="B164" s="104" t="s">
        <v>31</v>
      </c>
      <c r="C164" s="104" t="s">
        <v>132</v>
      </c>
      <c r="D164" s="82">
        <f ca="1">IF('Input Global'!$B$62="no",SUM(INDIRECT("'"&amp;$A164&amp;"'!D53:D56"),INDIRECT("'"&amp;$A164&amp;"'!D59:D64")),SUM(INDIRECT("'"&amp;$A164&amp;"'!D53"),SUM(INDIRECT("'"&amp;$A164&amp;"'!D56"),INDIRECT("'"&amp;$A164&amp;"'!D59:D64"))))</f>
        <v>0</v>
      </c>
      <c r="E164" s="82">
        <f ca="1">IF('Input Global'!$B$62="no",SUM(INDIRECT("'"&amp;$A164&amp;"'!E53:E56"),INDIRECT("'"&amp;$A164&amp;"'!E59:E64")),SUM(INDIRECT("'"&amp;$A164&amp;"'!E53"),SUM(INDIRECT("'"&amp;$A164&amp;"'!E56"),INDIRECT("'"&amp;$A164&amp;"'!E59:E64"))))</f>
        <v>0</v>
      </c>
      <c r="F164" s="82">
        <f ca="1">IF('Input Global'!$B$62="no",SUM(INDIRECT("'"&amp;$A164&amp;"'!F53:F56"),INDIRECT("'"&amp;$A164&amp;"'!F59:F64")),SUM(INDIRECT("'"&amp;$A164&amp;"'!F53"),SUM(INDIRECT("'"&amp;$A164&amp;"'!F56"),INDIRECT("'"&amp;$A164&amp;"'!F59:F64"))))</f>
        <v>0</v>
      </c>
      <c r="G164" s="82">
        <f ca="1">IF('Input Global'!$B$62="no",SUM(INDIRECT("'"&amp;$A164&amp;"'!G53:G56"),INDIRECT("'"&amp;$A164&amp;"'!G59:G64")),SUM(INDIRECT("'"&amp;$A164&amp;"'!G53"),SUM(INDIRECT("'"&amp;$A164&amp;"'!G56"),INDIRECT("'"&amp;$A164&amp;"'!G59:G64"))))</f>
        <v>0</v>
      </c>
      <c r="H164" s="82">
        <f ca="1">IF('Input Global'!$B$62="no",SUM(INDIRECT("'"&amp;$A164&amp;"'!H53:H56"),INDIRECT("'"&amp;$A164&amp;"'!H59:H64")),SUM(INDIRECT("'"&amp;$A164&amp;"'!H53"),SUM(INDIRECT("'"&amp;$A164&amp;"'!H56"),INDIRECT("'"&amp;$A164&amp;"'!H59:H64"))))</f>
        <v>0</v>
      </c>
    </row>
    <row r="165" spans="1:14" s="35" customFormat="1" hidden="1" x14ac:dyDescent="0.3">
      <c r="A165" s="35" t="str">
        <f ca="1">'Calc (Market Slow Rate)'!$B$2</f>
        <v>Calc (Market Slow Rate)</v>
      </c>
      <c r="B165" s="104" t="s">
        <v>31</v>
      </c>
      <c r="C165" s="104" t="s">
        <v>132</v>
      </c>
      <c r="D165" s="82">
        <f ca="1">IF('Input Global'!$B$62="no",SUM(INDIRECT("'"&amp;$A165&amp;"'!D53:D56"),INDIRECT("'"&amp;$A165&amp;"'!D59:D64")),SUM(INDIRECT("'"&amp;$A165&amp;"'!D53"),SUM(INDIRECT("'"&amp;$A165&amp;"'!D56"),INDIRECT("'"&amp;$A165&amp;"'!D59:D64"))))</f>
        <v>0</v>
      </c>
      <c r="E165" s="82">
        <f ca="1">IF('Input Global'!$B$62="no",SUM(INDIRECT("'"&amp;$A165&amp;"'!E53:E56"),INDIRECT("'"&amp;$A165&amp;"'!E59:E64")),SUM(INDIRECT("'"&amp;$A165&amp;"'!E53"),SUM(INDIRECT("'"&amp;$A165&amp;"'!E56"),INDIRECT("'"&amp;$A165&amp;"'!E59:E64"))))</f>
        <v>0</v>
      </c>
      <c r="F165" s="82">
        <f ca="1">IF('Input Global'!$B$62="no",SUM(INDIRECT("'"&amp;$A165&amp;"'!F53:F56"),INDIRECT("'"&amp;$A165&amp;"'!F59:F64")),SUM(INDIRECT("'"&amp;$A165&amp;"'!F53"),SUM(INDIRECT("'"&amp;$A165&amp;"'!F56"),INDIRECT("'"&amp;$A165&amp;"'!F59:F64"))))</f>
        <v>0</v>
      </c>
      <c r="G165" s="82">
        <f ca="1">IF('Input Global'!$B$62="no",SUM(INDIRECT("'"&amp;$A165&amp;"'!G53:G56"),INDIRECT("'"&amp;$A165&amp;"'!G59:G64")),SUM(INDIRECT("'"&amp;$A165&amp;"'!G53"),SUM(INDIRECT("'"&amp;$A165&amp;"'!G56"),INDIRECT("'"&amp;$A165&amp;"'!G59:G64"))))</f>
        <v>0</v>
      </c>
      <c r="H165" s="82">
        <f ca="1">IF('Input Global'!$B$62="no",SUM(INDIRECT("'"&amp;$A165&amp;"'!H53:H56"),INDIRECT("'"&amp;$A165&amp;"'!H59:H64")),SUM(INDIRECT("'"&amp;$A165&amp;"'!H53"),SUM(INDIRECT("'"&amp;$A165&amp;"'!H56"),INDIRECT("'"&amp;$A165&amp;"'!H59:H64"))))</f>
        <v>0</v>
      </c>
    </row>
    <row r="166" spans="1:14" s="35" customFormat="1" hidden="1" x14ac:dyDescent="0.3">
      <c r="A166" s="38" t="str">
        <f>Dist5</f>
        <v>blank</v>
      </c>
      <c r="D166" s="76"/>
      <c r="E166" s="76"/>
      <c r="F166" s="76"/>
      <c r="G166" s="76"/>
      <c r="H166" s="76"/>
    </row>
    <row r="167" spans="1:14" s="35" customFormat="1" hidden="1" x14ac:dyDescent="0.3">
      <c r="A167" s="35" t="str">
        <f ca="1">'Calc (Jurisdiction)'!$B$2</f>
        <v>Calc (Jurisdiction)</v>
      </c>
      <c r="B167" s="104" t="s">
        <v>31</v>
      </c>
      <c r="C167" s="104" t="s">
        <v>132</v>
      </c>
      <c r="D167" s="82">
        <f ca="1">IF('Input Global'!$B$62="no",SUM(INDIRECT("'"&amp;$A167&amp;"'!D68:D71"),INDIRECT("'"&amp;$A167&amp;"'!D74:D79")),SUM(INDIRECT("'"&amp;$A167&amp;"'!D68"),SUM(INDIRECT("'"&amp;$A167&amp;"'!D71"),INDIRECT("'"&amp;$A167&amp;"'!D74:D79"))))</f>
        <v>0</v>
      </c>
      <c r="E167" s="82">
        <f ca="1">IF('Input Global'!$B$62="no",SUM(INDIRECT("'"&amp;$A167&amp;"'!E68:E71"),INDIRECT("'"&amp;$A167&amp;"'!E74:E79")),SUM(INDIRECT("'"&amp;$A167&amp;"'!E68"),SUM(INDIRECT("'"&amp;$A167&amp;"'!E71"),INDIRECT("'"&amp;$A167&amp;"'!E74:E79"))))</f>
        <v>0</v>
      </c>
      <c r="F167" s="82">
        <f ca="1">IF('Input Global'!$B$62="no",SUM(INDIRECT("'"&amp;$A167&amp;"'!F68:F71"),INDIRECT("'"&amp;$A167&amp;"'!F74:F79")),SUM(INDIRECT("'"&amp;$A167&amp;"'!F68"),SUM(INDIRECT("'"&amp;$A167&amp;"'!F71"),INDIRECT("'"&amp;$A167&amp;"'!F74:F79"))))</f>
        <v>0</v>
      </c>
      <c r="G167" s="82">
        <f ca="1">IF('Input Global'!$B$62="no",SUM(INDIRECT("'"&amp;$A167&amp;"'!G68:G71"),INDIRECT("'"&amp;$A167&amp;"'!G74:G79")),SUM(INDIRECT("'"&amp;$A167&amp;"'!G68"),SUM(INDIRECT("'"&amp;$A167&amp;"'!G71"),INDIRECT("'"&amp;$A167&amp;"'!G74:G79"))))</f>
        <v>0</v>
      </c>
      <c r="H167" s="82">
        <f ca="1">IF('Input Global'!$B$62="no",SUM(INDIRECT("'"&amp;$A167&amp;"'!H68:H71"),INDIRECT("'"&amp;$A167&amp;"'!H74:H79")),SUM(INDIRECT("'"&amp;$A167&amp;"'!H68"),SUM(INDIRECT("'"&amp;$A167&amp;"'!H71"),INDIRECT("'"&amp;$A167&amp;"'!H74:H79"))))</f>
        <v>0</v>
      </c>
    </row>
    <row r="168" spans="1:14" s="35" customFormat="1" hidden="1" x14ac:dyDescent="0.3">
      <c r="A168" s="35" t="str">
        <f ca="1">'Calc (LRMC Planning case)'!$B$2</f>
        <v>Calc (LRMC Planning case)</v>
      </c>
      <c r="B168" s="104" t="s">
        <v>31</v>
      </c>
      <c r="C168" s="104" t="s">
        <v>132</v>
      </c>
      <c r="D168" s="82">
        <f ca="1">IF('Input Global'!$B$62="no",SUM(INDIRECT("'"&amp;$A168&amp;"'!D68:D71"),INDIRECT("'"&amp;$A168&amp;"'!D74:D79")),SUM(INDIRECT("'"&amp;$A168&amp;"'!D68"),SUM(INDIRECT("'"&amp;$A168&amp;"'!D71"),INDIRECT("'"&amp;$A168&amp;"'!D74:D79"))))</f>
        <v>0</v>
      </c>
      <c r="E168" s="82">
        <f ca="1">IF('Input Global'!$B$62="no",SUM(INDIRECT("'"&amp;$A168&amp;"'!E68:E71"),INDIRECT("'"&amp;$A168&amp;"'!E74:E79")),SUM(INDIRECT("'"&amp;$A168&amp;"'!E68"),SUM(INDIRECT("'"&amp;$A168&amp;"'!E71"),INDIRECT("'"&amp;$A168&amp;"'!E74:E79"))))</f>
        <v>0</v>
      </c>
      <c r="F168" s="82">
        <f ca="1">IF('Input Global'!$B$62="no",SUM(INDIRECT("'"&amp;$A168&amp;"'!F68:F71"),INDIRECT("'"&amp;$A168&amp;"'!F74:F79")),SUM(INDIRECT("'"&amp;$A168&amp;"'!F68"),SUM(INDIRECT("'"&amp;$A168&amp;"'!F71"),INDIRECT("'"&amp;$A168&amp;"'!F74:F79"))))</f>
        <v>0</v>
      </c>
      <c r="G168" s="82">
        <f ca="1">IF('Input Global'!$B$62="no",SUM(INDIRECT("'"&amp;$A168&amp;"'!G68:G71"),INDIRECT("'"&amp;$A168&amp;"'!G74:G79")),SUM(INDIRECT("'"&amp;$A168&amp;"'!G68"),SUM(INDIRECT("'"&amp;$A168&amp;"'!G71"),INDIRECT("'"&amp;$A168&amp;"'!G74:G79"))))</f>
        <v>0</v>
      </c>
      <c r="H168" s="82">
        <f ca="1">IF('Input Global'!$B$62="no",SUM(INDIRECT("'"&amp;$A168&amp;"'!H68:H71"),INDIRECT("'"&amp;$A168&amp;"'!H74:H79")),SUM(INDIRECT("'"&amp;$A168&amp;"'!H68"),SUM(INDIRECT("'"&amp;$A168&amp;"'!H71"),INDIRECT("'"&amp;$A168&amp;"'!H74:H79"))))</f>
        <v>0</v>
      </c>
    </row>
    <row r="169" spans="1:14" s="35" customFormat="1" hidden="1" x14ac:dyDescent="0.3">
      <c r="A169" s="35" t="str">
        <f ca="1">'Calc (LRMC Slow Rate)'!$B$2</f>
        <v>Calc (LRMC Slow Rate)</v>
      </c>
      <c r="B169" s="104" t="s">
        <v>31</v>
      </c>
      <c r="C169" s="104" t="s">
        <v>132</v>
      </c>
      <c r="D169" s="82">
        <f ca="1">IF('Input Global'!$B$62="no",SUM(INDIRECT("'"&amp;$A169&amp;"'!D68:D71"),INDIRECT("'"&amp;$A169&amp;"'!D74:D79")),SUM(INDIRECT("'"&amp;$A169&amp;"'!D68"),SUM(INDIRECT("'"&amp;$A169&amp;"'!D71"),INDIRECT("'"&amp;$A169&amp;"'!D74:D79"))))</f>
        <v>0</v>
      </c>
      <c r="E169" s="82">
        <f ca="1">IF('Input Global'!$B$62="no",SUM(INDIRECT("'"&amp;$A169&amp;"'!E68:E71"),INDIRECT("'"&amp;$A169&amp;"'!E74:E79")),SUM(INDIRECT("'"&amp;$A169&amp;"'!E68"),SUM(INDIRECT("'"&amp;$A169&amp;"'!E71"),INDIRECT("'"&amp;$A169&amp;"'!E74:E79"))))</f>
        <v>0</v>
      </c>
      <c r="F169" s="82">
        <f ca="1">IF('Input Global'!$B$62="no",SUM(INDIRECT("'"&amp;$A169&amp;"'!F68:F71"),INDIRECT("'"&amp;$A169&amp;"'!F74:F79")),SUM(INDIRECT("'"&amp;$A169&amp;"'!F68"),SUM(INDIRECT("'"&amp;$A169&amp;"'!F71"),INDIRECT("'"&amp;$A169&amp;"'!F74:F79"))))</f>
        <v>0</v>
      </c>
      <c r="G169" s="82">
        <f ca="1">IF('Input Global'!$B$62="no",SUM(INDIRECT("'"&amp;$A169&amp;"'!G68:G71"),INDIRECT("'"&amp;$A169&amp;"'!G74:G79")),SUM(INDIRECT("'"&amp;$A169&amp;"'!G68"),SUM(INDIRECT("'"&amp;$A169&amp;"'!G71"),INDIRECT("'"&amp;$A169&amp;"'!G74:G79"))))</f>
        <v>0</v>
      </c>
      <c r="H169" s="82">
        <f ca="1">IF('Input Global'!$B$62="no",SUM(INDIRECT("'"&amp;$A169&amp;"'!H68:H71"),INDIRECT("'"&amp;$A169&amp;"'!H74:H79")),SUM(INDIRECT("'"&amp;$A169&amp;"'!H68"),SUM(INDIRECT("'"&amp;$A169&amp;"'!H71"),INDIRECT("'"&amp;$A169&amp;"'!H74:H79"))))</f>
        <v>0</v>
      </c>
    </row>
    <row r="170" spans="1:14" s="35" customFormat="1" hidden="1" x14ac:dyDescent="0.3">
      <c r="A170" s="35" t="str">
        <f ca="1">'Calc (Market Planning Case)'!$B$2</f>
        <v>Calc (Market Planning Case)</v>
      </c>
      <c r="B170" s="104" t="s">
        <v>31</v>
      </c>
      <c r="C170" s="104" t="s">
        <v>132</v>
      </c>
      <c r="D170" s="82">
        <f ca="1">IF('Input Global'!$B$62="no",SUM(INDIRECT("'"&amp;$A170&amp;"'!D68:D71"),INDIRECT("'"&amp;$A170&amp;"'!D74:D79")),SUM(INDIRECT("'"&amp;$A170&amp;"'!D68"),SUM(INDIRECT("'"&amp;$A170&amp;"'!D71"),INDIRECT("'"&amp;$A170&amp;"'!D74:D79"))))</f>
        <v>0</v>
      </c>
      <c r="E170" s="82">
        <f ca="1">IF('Input Global'!$B$62="no",SUM(INDIRECT("'"&amp;$A170&amp;"'!E68:E71"),INDIRECT("'"&amp;$A170&amp;"'!E74:E79")),SUM(INDIRECT("'"&amp;$A170&amp;"'!E68"),SUM(INDIRECT("'"&amp;$A170&amp;"'!E71"),INDIRECT("'"&amp;$A170&amp;"'!E74:E79"))))</f>
        <v>0</v>
      </c>
      <c r="F170" s="82">
        <f ca="1">IF('Input Global'!$B$62="no",SUM(INDIRECT("'"&amp;$A170&amp;"'!F68:F71"),INDIRECT("'"&amp;$A170&amp;"'!F74:F79")),SUM(INDIRECT("'"&amp;$A170&amp;"'!F68"),SUM(INDIRECT("'"&amp;$A170&amp;"'!F71"),INDIRECT("'"&amp;$A170&amp;"'!F74:F79"))))</f>
        <v>0</v>
      </c>
      <c r="G170" s="82">
        <f ca="1">IF('Input Global'!$B$62="no",SUM(INDIRECT("'"&amp;$A170&amp;"'!G68:G71"),INDIRECT("'"&amp;$A170&amp;"'!G74:G79")),SUM(INDIRECT("'"&amp;$A170&amp;"'!G68"),SUM(INDIRECT("'"&amp;$A170&amp;"'!G71"),INDIRECT("'"&amp;$A170&amp;"'!G74:G79"))))</f>
        <v>0</v>
      </c>
      <c r="H170" s="82">
        <f ca="1">IF('Input Global'!$B$62="no",SUM(INDIRECT("'"&amp;$A170&amp;"'!H68:H71"),INDIRECT("'"&amp;$A170&amp;"'!H74:H79")),SUM(INDIRECT("'"&amp;$A170&amp;"'!H68"),SUM(INDIRECT("'"&amp;$A170&amp;"'!H71"),INDIRECT("'"&amp;$A170&amp;"'!H74:H79"))))</f>
        <v>0</v>
      </c>
    </row>
    <row r="171" spans="1:14" s="35" customFormat="1" hidden="1" x14ac:dyDescent="0.3">
      <c r="A171" s="35" t="str">
        <f ca="1">'Calc (Market Slow Rate)'!$B$2</f>
        <v>Calc (Market Slow Rate)</v>
      </c>
      <c r="B171" s="104" t="s">
        <v>31</v>
      </c>
      <c r="C171" s="104" t="s">
        <v>132</v>
      </c>
      <c r="D171" s="82">
        <f ca="1">IF('Input Global'!$B$62="no",SUM(INDIRECT("'"&amp;$A171&amp;"'!D68:D71"),INDIRECT("'"&amp;$A171&amp;"'!D74:D79")),SUM(INDIRECT("'"&amp;$A171&amp;"'!D68"),SUM(INDIRECT("'"&amp;$A171&amp;"'!D71"),INDIRECT("'"&amp;$A171&amp;"'!D74:D79"))))</f>
        <v>0</v>
      </c>
      <c r="E171" s="82">
        <f ca="1">IF('Input Global'!$B$62="no",SUM(INDIRECT("'"&amp;$A171&amp;"'!E68:E71"),INDIRECT("'"&amp;$A171&amp;"'!E74:E79")),SUM(INDIRECT("'"&amp;$A171&amp;"'!E68"),SUM(INDIRECT("'"&amp;$A171&amp;"'!E71"),INDIRECT("'"&amp;$A171&amp;"'!E74:E79"))))</f>
        <v>0</v>
      </c>
      <c r="F171" s="82">
        <f ca="1">IF('Input Global'!$B$62="no",SUM(INDIRECT("'"&amp;$A171&amp;"'!F68:F71"),INDIRECT("'"&amp;$A171&amp;"'!F74:F79")),SUM(INDIRECT("'"&amp;$A171&amp;"'!F68"),SUM(INDIRECT("'"&amp;$A171&amp;"'!F71"),INDIRECT("'"&amp;$A171&amp;"'!F74:F79"))))</f>
        <v>0</v>
      </c>
      <c r="G171" s="82">
        <f ca="1">IF('Input Global'!$B$62="no",SUM(INDIRECT("'"&amp;$A171&amp;"'!G68:G71"),INDIRECT("'"&amp;$A171&amp;"'!G74:G79")),SUM(INDIRECT("'"&amp;$A171&amp;"'!G68"),SUM(INDIRECT("'"&amp;$A171&amp;"'!G71"),INDIRECT("'"&amp;$A171&amp;"'!G74:G79"))))</f>
        <v>0</v>
      </c>
      <c r="H171" s="82">
        <f ca="1">IF('Input Global'!$B$62="no",SUM(INDIRECT("'"&amp;$A171&amp;"'!H68:H71"),INDIRECT("'"&amp;$A171&amp;"'!H74:H79")),SUM(INDIRECT("'"&amp;$A171&amp;"'!H68"),SUM(INDIRECT("'"&amp;$A171&amp;"'!H71"),INDIRECT("'"&amp;$A171&amp;"'!H74:H79"))))</f>
        <v>0</v>
      </c>
    </row>
    <row r="172" spans="1:14" s="35" customFormat="1" x14ac:dyDescent="0.3"/>
    <row r="173" spans="1:14" s="37" customFormat="1" ht="18.75" x14ac:dyDescent="0.3">
      <c r="A173" s="36" t="s">
        <v>127</v>
      </c>
    </row>
    <row r="174" spans="1:14" s="35" customFormat="1" x14ac:dyDescent="0.3">
      <c r="A174" s="46" t="str">
        <f>'Input Frontier'!A29</f>
        <v>Carbon costs</v>
      </c>
      <c r="D174" s="39"/>
      <c r="E174" s="39"/>
      <c r="F174" s="39"/>
      <c r="G174" s="39"/>
      <c r="H174" s="39"/>
    </row>
    <row r="175" spans="1:14" s="35" customFormat="1" x14ac:dyDescent="0.3">
      <c r="A175" s="38" t="str">
        <f>Dist1</f>
        <v xml:space="preserve">Ausgrid </v>
      </c>
      <c r="D175" s="39"/>
      <c r="E175" s="39"/>
      <c r="F175" s="39"/>
      <c r="G175" s="39"/>
      <c r="H175" s="39"/>
    </row>
    <row r="176" spans="1:14" s="35" customFormat="1" x14ac:dyDescent="0.3">
      <c r="A176" s="35" t="str">
        <f ca="1">'Calc (Jurisdiction)'!$B$2</f>
        <v>Calc (Jurisdiction)</v>
      </c>
      <c r="B176" s="104" t="s">
        <v>31</v>
      </c>
      <c r="C176" s="35" t="s">
        <v>17</v>
      </c>
      <c r="D176" s="80">
        <f t="shared" ref="D176:H180" si="24">D$240+D296</f>
        <v>0</v>
      </c>
      <c r="E176" s="80">
        <f t="shared" si="24"/>
        <v>0</v>
      </c>
      <c r="F176" s="80">
        <f t="shared" si="24"/>
        <v>2.0428249999999997</v>
      </c>
      <c r="G176" s="80">
        <f t="shared" si="24"/>
        <v>2.1433752084577535</v>
      </c>
      <c r="H176" s="80">
        <f t="shared" si="24"/>
        <v>2.2529781822229795</v>
      </c>
      <c r="I176" s="42"/>
      <c r="J176" s="47"/>
      <c r="K176" s="47"/>
      <c r="L176" s="47"/>
      <c r="M176" s="47"/>
      <c r="N176" s="47"/>
    </row>
    <row r="177" spans="1:14" s="35" customFormat="1" x14ac:dyDescent="0.3">
      <c r="A177" s="35" t="str">
        <f ca="1">'Calc (LRMC Planning case)'!$B$2</f>
        <v>Calc (LRMC Planning case)</v>
      </c>
      <c r="B177" s="104" t="s">
        <v>31</v>
      </c>
      <c r="C177" s="35" t="s">
        <v>17</v>
      </c>
      <c r="D177" s="80">
        <f t="shared" si="24"/>
        <v>0</v>
      </c>
      <c r="E177" s="80">
        <f t="shared" si="24"/>
        <v>0</v>
      </c>
      <c r="F177" s="80">
        <f t="shared" si="24"/>
        <v>2.0428249999999997</v>
      </c>
      <c r="G177" s="80">
        <f t="shared" si="24"/>
        <v>2.1433752084577535</v>
      </c>
      <c r="H177" s="80">
        <f t="shared" si="24"/>
        <v>2.2529781822229795</v>
      </c>
      <c r="I177" s="42"/>
      <c r="J177" s="47"/>
      <c r="K177" s="47"/>
      <c r="L177" s="47"/>
      <c r="M177" s="47"/>
      <c r="N177" s="47"/>
    </row>
    <row r="178" spans="1:14" s="35" customFormat="1" x14ac:dyDescent="0.3">
      <c r="A178" s="35" t="str">
        <f ca="1">'Calc (LRMC Slow Rate)'!$B$2</f>
        <v>Calc (LRMC Slow Rate)</v>
      </c>
      <c r="B178" s="104" t="s">
        <v>31</v>
      </c>
      <c r="C178" s="35" t="s">
        <v>17</v>
      </c>
      <c r="D178" s="80">
        <f t="shared" si="24"/>
        <v>0</v>
      </c>
      <c r="E178" s="80">
        <f t="shared" si="24"/>
        <v>0</v>
      </c>
      <c r="F178" s="80">
        <f t="shared" si="24"/>
        <v>2.0428249999999997</v>
      </c>
      <c r="G178" s="80">
        <f t="shared" si="24"/>
        <v>2.1491536105016715</v>
      </c>
      <c r="H178" s="80">
        <f t="shared" si="24"/>
        <v>2.2584319543253688</v>
      </c>
      <c r="I178" s="42"/>
      <c r="J178" s="48"/>
      <c r="K178" s="48"/>
      <c r="L178" s="48"/>
      <c r="M178" s="48"/>
      <c r="N178" s="48"/>
    </row>
    <row r="179" spans="1:14" s="35" customFormat="1" x14ac:dyDescent="0.3">
      <c r="A179" s="35" t="str">
        <f ca="1">'Calc (Market Planning Case)'!$B$2</f>
        <v>Calc (Market Planning Case)</v>
      </c>
      <c r="B179" s="104" t="s">
        <v>31</v>
      </c>
      <c r="C179" s="35" t="s">
        <v>17</v>
      </c>
      <c r="D179" s="80">
        <f t="shared" si="24"/>
        <v>0</v>
      </c>
      <c r="E179" s="80">
        <f t="shared" si="24"/>
        <v>0</v>
      </c>
      <c r="F179" s="80">
        <f t="shared" si="24"/>
        <v>2.0428249999999997</v>
      </c>
      <c r="G179" s="80">
        <f t="shared" si="24"/>
        <v>2.2859236454345511</v>
      </c>
      <c r="H179" s="80">
        <f t="shared" si="24"/>
        <v>2.1945729667382818</v>
      </c>
      <c r="I179" s="42"/>
      <c r="J179" s="42"/>
      <c r="K179" s="42"/>
      <c r="L179" s="42"/>
      <c r="M179" s="42"/>
      <c r="N179" s="42"/>
    </row>
    <row r="180" spans="1:14" s="35" customFormat="1" x14ac:dyDescent="0.3">
      <c r="A180" s="35" t="str">
        <f ca="1">'Calc (Market Slow Rate)'!$B$2</f>
        <v>Calc (Market Slow Rate)</v>
      </c>
      <c r="B180" s="104" t="s">
        <v>31</v>
      </c>
      <c r="C180" s="35" t="s">
        <v>17</v>
      </c>
      <c r="D180" s="80">
        <f t="shared" si="24"/>
        <v>0</v>
      </c>
      <c r="E180" s="80">
        <f t="shared" si="24"/>
        <v>0</v>
      </c>
      <c r="F180" s="80">
        <f t="shared" si="24"/>
        <v>2.0428249999999997</v>
      </c>
      <c r="G180" s="80">
        <f t="shared" si="24"/>
        <v>2.3935609856277189</v>
      </c>
      <c r="H180" s="80">
        <f t="shared" si="24"/>
        <v>2.2574568954744443</v>
      </c>
      <c r="I180" s="48"/>
      <c r="J180" s="48"/>
      <c r="K180" s="48"/>
      <c r="L180" s="48"/>
      <c r="M180" s="48"/>
      <c r="N180" s="48"/>
    </row>
    <row r="181" spans="1:14" s="35" customFormat="1" x14ac:dyDescent="0.3">
      <c r="A181" s="38" t="str">
        <f>Dist2</f>
        <v>Essential</v>
      </c>
      <c r="D181" s="39"/>
      <c r="E181" s="39"/>
      <c r="F181" s="39"/>
      <c r="G181" s="39"/>
      <c r="H181" s="39"/>
      <c r="I181" s="42"/>
      <c r="J181" s="48"/>
      <c r="K181" s="48"/>
      <c r="L181" s="48"/>
      <c r="M181" s="48"/>
      <c r="N181" s="48"/>
    </row>
    <row r="182" spans="1:14" s="35" customFormat="1" x14ac:dyDescent="0.3">
      <c r="A182" s="35" t="str">
        <f ca="1">'Calc (Jurisdiction)'!$B$2</f>
        <v>Calc (Jurisdiction)</v>
      </c>
      <c r="B182" s="104" t="s">
        <v>31</v>
      </c>
      <c r="C182" s="35" t="s">
        <v>17</v>
      </c>
      <c r="D182" s="80">
        <f t="shared" ref="D182:H186" si="25">D$251+D303</f>
        <v>0</v>
      </c>
      <c r="E182" s="80">
        <f t="shared" si="25"/>
        <v>0</v>
      </c>
      <c r="F182" s="80">
        <f t="shared" si="25"/>
        <v>2.0335999999999999</v>
      </c>
      <c r="G182" s="80">
        <f t="shared" si="25"/>
        <v>2.134361795877902</v>
      </c>
      <c r="H182" s="80">
        <f t="shared" si="25"/>
        <v>2.3576767413870154</v>
      </c>
      <c r="I182" s="42"/>
      <c r="J182" s="48"/>
      <c r="K182" s="48"/>
      <c r="L182" s="48"/>
      <c r="M182" s="48"/>
      <c r="N182" s="48"/>
    </row>
    <row r="183" spans="1:14" s="35" customFormat="1" x14ac:dyDescent="0.3">
      <c r="A183" s="35" t="str">
        <f ca="1">'Calc (LRMC Planning case)'!$B$2</f>
        <v>Calc (LRMC Planning case)</v>
      </c>
      <c r="B183" s="104" t="s">
        <v>31</v>
      </c>
      <c r="C183" s="35" t="s">
        <v>17</v>
      </c>
      <c r="D183" s="80">
        <f t="shared" si="25"/>
        <v>0</v>
      </c>
      <c r="E183" s="80">
        <f t="shared" si="25"/>
        <v>0</v>
      </c>
      <c r="F183" s="80">
        <f t="shared" si="25"/>
        <v>2.0335999999999999</v>
      </c>
      <c r="G183" s="80">
        <f t="shared" si="25"/>
        <v>2.134361795877902</v>
      </c>
      <c r="H183" s="80">
        <f t="shared" si="25"/>
        <v>2.3576767413870154</v>
      </c>
      <c r="I183" s="48"/>
      <c r="J183" s="48"/>
      <c r="K183" s="48"/>
      <c r="L183" s="48"/>
      <c r="M183" s="48"/>
      <c r="N183" s="42"/>
    </row>
    <row r="184" spans="1:14" s="35" customFormat="1" x14ac:dyDescent="0.3">
      <c r="A184" s="35" t="str">
        <f ca="1">'Calc (LRMC Slow Rate)'!$B$2</f>
        <v>Calc (LRMC Slow Rate)</v>
      </c>
      <c r="B184" s="104" t="s">
        <v>31</v>
      </c>
      <c r="C184" s="35" t="s">
        <v>17</v>
      </c>
      <c r="D184" s="80">
        <f t="shared" si="25"/>
        <v>0</v>
      </c>
      <c r="E184" s="80">
        <f t="shared" si="25"/>
        <v>0</v>
      </c>
      <c r="F184" s="80">
        <f t="shared" si="25"/>
        <v>2.0335999999999999</v>
      </c>
      <c r="G184" s="80">
        <f t="shared" si="25"/>
        <v>2.1378315725175741</v>
      </c>
      <c r="H184" s="80">
        <f t="shared" si="25"/>
        <v>2.2472823552575565</v>
      </c>
      <c r="J184" s="41"/>
      <c r="K184" s="41"/>
      <c r="L184" s="41"/>
      <c r="M184" s="41"/>
      <c r="N184" s="41"/>
    </row>
    <row r="185" spans="1:14" s="35" customFormat="1" x14ac:dyDescent="0.3">
      <c r="A185" s="35" t="str">
        <f ca="1">'Calc (Market Planning Case)'!$B$2</f>
        <v>Calc (Market Planning Case)</v>
      </c>
      <c r="B185" s="104" t="s">
        <v>31</v>
      </c>
      <c r="C185" s="35" t="s">
        <v>17</v>
      </c>
      <c r="D185" s="80">
        <f t="shared" si="25"/>
        <v>0</v>
      </c>
      <c r="E185" s="80">
        <f t="shared" si="25"/>
        <v>0</v>
      </c>
      <c r="F185" s="80">
        <f t="shared" si="25"/>
        <v>2.0335999999999999</v>
      </c>
      <c r="G185" s="80">
        <f t="shared" si="25"/>
        <v>2.2645353871666596</v>
      </c>
      <c r="H185" s="80">
        <f t="shared" si="25"/>
        <v>2.1577933516992789</v>
      </c>
    </row>
    <row r="186" spans="1:14" s="35" customFormat="1" x14ac:dyDescent="0.3">
      <c r="A186" s="35" t="str">
        <f ca="1">'Calc (Market Slow Rate)'!$B$2</f>
        <v>Calc (Market Slow Rate)</v>
      </c>
      <c r="B186" s="104" t="s">
        <v>31</v>
      </c>
      <c r="C186" s="35" t="s">
        <v>17</v>
      </c>
      <c r="D186" s="80">
        <f t="shared" si="25"/>
        <v>0</v>
      </c>
      <c r="E186" s="80">
        <f t="shared" si="25"/>
        <v>0</v>
      </c>
      <c r="F186" s="80">
        <f t="shared" si="25"/>
        <v>2.0335999999999999</v>
      </c>
      <c r="G186" s="80">
        <f t="shared" si="25"/>
        <v>2.3829047269520003</v>
      </c>
      <c r="H186" s="80">
        <f t="shared" si="25"/>
        <v>2.2364021594082542</v>
      </c>
    </row>
    <row r="187" spans="1:14" s="35" customFormat="1" x14ac:dyDescent="0.3">
      <c r="A187" s="38" t="str">
        <f>Dist3</f>
        <v>Endeavour</v>
      </c>
      <c r="D187" s="39"/>
      <c r="E187" s="39"/>
      <c r="F187" s="39"/>
      <c r="G187" s="39"/>
      <c r="H187" s="39"/>
    </row>
    <row r="188" spans="1:14" s="35" customFormat="1" x14ac:dyDescent="0.3">
      <c r="A188" s="35" t="str">
        <f ca="1">'Calc (Jurisdiction)'!$B$2</f>
        <v>Calc (Jurisdiction)</v>
      </c>
      <c r="B188" s="104" t="s">
        <v>31</v>
      </c>
      <c r="C188" s="35" t="s">
        <v>17</v>
      </c>
      <c r="D188" s="80">
        <f t="shared" ref="D188:H192" si="26">D$262+D310</f>
        <v>0</v>
      </c>
      <c r="E188" s="80">
        <f t="shared" si="26"/>
        <v>0</v>
      </c>
      <c r="F188" s="80">
        <f t="shared" si="26"/>
        <v>2.0139999999999998</v>
      </c>
      <c r="G188" s="80">
        <f t="shared" si="26"/>
        <v>2.1135126945102725</v>
      </c>
      <c r="H188" s="80">
        <f t="shared" si="26"/>
        <v>2.2219080450147288</v>
      </c>
    </row>
    <row r="189" spans="1:14" s="35" customFormat="1" x14ac:dyDescent="0.3">
      <c r="A189" s="35" t="str">
        <f ca="1">'Calc (LRMC Planning case)'!$B$2</f>
        <v>Calc (LRMC Planning case)</v>
      </c>
      <c r="B189" s="104" t="s">
        <v>31</v>
      </c>
      <c r="C189" s="35" t="s">
        <v>17</v>
      </c>
      <c r="D189" s="80">
        <f t="shared" si="26"/>
        <v>0</v>
      </c>
      <c r="E189" s="80">
        <f t="shared" si="26"/>
        <v>0</v>
      </c>
      <c r="F189" s="80">
        <f t="shared" si="26"/>
        <v>2.0139999999999998</v>
      </c>
      <c r="G189" s="80">
        <f t="shared" si="26"/>
        <v>2.1135126945102725</v>
      </c>
      <c r="H189" s="80">
        <f t="shared" si="26"/>
        <v>2.2219080450147288</v>
      </c>
    </row>
    <row r="190" spans="1:14" s="35" customFormat="1" x14ac:dyDescent="0.3">
      <c r="A190" s="35" t="str">
        <f ca="1">'Calc (LRMC Slow Rate)'!$B$2</f>
        <v>Calc (LRMC Slow Rate)</v>
      </c>
      <c r="B190" s="104" t="s">
        <v>31</v>
      </c>
      <c r="C190" s="35" t="s">
        <v>17</v>
      </c>
      <c r="D190" s="80">
        <f t="shared" si="26"/>
        <v>0</v>
      </c>
      <c r="E190" s="80">
        <f t="shared" si="26"/>
        <v>0</v>
      </c>
      <c r="F190" s="80">
        <f t="shared" si="26"/>
        <v>2.0139999999999998</v>
      </c>
      <c r="G190" s="80">
        <f t="shared" si="26"/>
        <v>2.1712184858920378</v>
      </c>
      <c r="H190" s="80">
        <f t="shared" si="26"/>
        <v>2.2262490200576792</v>
      </c>
    </row>
    <row r="191" spans="1:14" s="35" customFormat="1" x14ac:dyDescent="0.3">
      <c r="A191" s="35" t="str">
        <f ca="1">'Calc (Market Planning Case)'!$B$2</f>
        <v>Calc (Market Planning Case)</v>
      </c>
      <c r="B191" s="104" t="s">
        <v>31</v>
      </c>
      <c r="C191" s="35" t="s">
        <v>17</v>
      </c>
      <c r="D191" s="80">
        <f t="shared" si="26"/>
        <v>0</v>
      </c>
      <c r="E191" s="80">
        <f t="shared" si="26"/>
        <v>0</v>
      </c>
      <c r="F191" s="80">
        <f t="shared" si="26"/>
        <v>2.0139999999999998</v>
      </c>
      <c r="G191" s="80">
        <f t="shared" si="26"/>
        <v>2.2407406156520184</v>
      </c>
      <c r="H191" s="80">
        <f t="shared" si="26"/>
        <v>2.1324960407321694</v>
      </c>
    </row>
    <row r="192" spans="1:14" s="35" customFormat="1" x14ac:dyDescent="0.3">
      <c r="A192" s="35" t="str">
        <f ca="1">'Calc (Market Slow Rate)'!$B$2</f>
        <v>Calc (Market Slow Rate)</v>
      </c>
      <c r="B192" s="104" t="s">
        <v>31</v>
      </c>
      <c r="C192" s="35" t="s">
        <v>17</v>
      </c>
      <c r="D192" s="80">
        <f t="shared" si="26"/>
        <v>0</v>
      </c>
      <c r="E192" s="80">
        <f t="shared" si="26"/>
        <v>0</v>
      </c>
      <c r="F192" s="80">
        <f t="shared" si="26"/>
        <v>2.0139999999999998</v>
      </c>
      <c r="G192" s="80">
        <f t="shared" si="26"/>
        <v>2.3583840000102092</v>
      </c>
      <c r="H192" s="80">
        <f t="shared" si="26"/>
        <v>2.2158567482026963</v>
      </c>
    </row>
    <row r="193" spans="1:14" s="35" customFormat="1" x14ac:dyDescent="0.3">
      <c r="D193" s="39"/>
      <c r="E193" s="39"/>
      <c r="F193" s="39"/>
      <c r="G193" s="39"/>
      <c r="H193" s="39"/>
    </row>
    <row r="194" spans="1:14" s="35" customFormat="1" x14ac:dyDescent="0.3">
      <c r="A194" s="21" t="s">
        <v>84</v>
      </c>
      <c r="D194" s="39"/>
      <c r="E194" s="39"/>
      <c r="F194" s="39"/>
      <c r="G194" s="39"/>
      <c r="H194" s="39"/>
    </row>
    <row r="195" spans="1:14" s="35" customFormat="1" x14ac:dyDescent="0.3">
      <c r="A195" s="38" t="str">
        <f>Dist1</f>
        <v xml:space="preserve">Ausgrid </v>
      </c>
      <c r="D195" s="39"/>
      <c r="E195" s="39"/>
      <c r="F195" s="39"/>
      <c r="G195" s="39"/>
      <c r="H195" s="39"/>
    </row>
    <row r="196" spans="1:14" s="35" customFormat="1" x14ac:dyDescent="0.3">
      <c r="A196" s="35" t="str">
        <f ca="1">'Calc (Jurisdiction)'!$B$2</f>
        <v>Calc (Jurisdiction)</v>
      </c>
      <c r="B196" s="104" t="s">
        <v>31</v>
      </c>
      <c r="C196" s="35" t="s">
        <v>17</v>
      </c>
      <c r="D196" s="80">
        <f ca="1">IF(LEFT($A196,5)="blank",0,D$237+D$238+D$239+D$271+(VLOOKUP($A196,Dist1Frontier,COLUMN(D196),FALSE))-IF('Input Global'!D$64="yes",D176,0))</f>
        <v>7.4399999999999995</v>
      </c>
      <c r="E196" s="106">
        <f ca="1">IF(LEFT($A196,5)="blank",0,E$237+E$238+E$239+E$271+(VLOOKUP($A196,Dist1Frontier,COLUMN(E196),FALSE))-IF('Input Global'!E$64="yes",E176,0))</f>
        <v>7.3639999999999999</v>
      </c>
      <c r="F196" s="106">
        <f ca="1">IF(LEFT($A196,5)="blank",0,F$237+F$238+F$239+F$271+(VLOOKUP($A196,Dist1Frontier,COLUMN(F196),FALSE))-IF('Input Global'!F$64="yes",F176,0))</f>
        <v>7.4432486500000001</v>
      </c>
      <c r="G196" s="106">
        <f ca="1">IF(LEFT($A196,5)="blank",0,G$237+G$238+G$239+G$271+(VLOOKUP($A196,Dist1Frontier,COLUMN(G196),FALSE))-IF('Input Global'!G$64="yes",G176,0))</f>
        <v>6.9699169661928035</v>
      </c>
      <c r="H196" s="106">
        <f ca="1">IF(LEFT($A196,5)="blank",0,H$237+H$238+H$239+H$271+(VLOOKUP($A196,Dist1Frontier,COLUMN(H196),FALSE))-IF('Input Global'!H$64="yes",H176,0))</f>
        <v>7.0968483462287297</v>
      </c>
      <c r="J196" s="49"/>
      <c r="K196" s="49"/>
      <c r="L196" s="49"/>
      <c r="M196" s="49"/>
      <c r="N196" s="49"/>
    </row>
    <row r="197" spans="1:14" s="35" customFormat="1" x14ac:dyDescent="0.3">
      <c r="A197" s="35" t="str">
        <f ca="1">'Calc (LRMC Planning case)'!$B$2</f>
        <v>Calc (LRMC Planning case)</v>
      </c>
      <c r="B197" s="104" t="s">
        <v>31</v>
      </c>
      <c r="C197" s="35" t="s">
        <v>17</v>
      </c>
      <c r="D197" s="106">
        <f ca="1">IF(LEFT($A197,5)="blank",0,D$237+D$238+D$239+D$271+(VLOOKUP($A197,Dist1Frontier,COLUMN(D197),FALSE))-IF('Input Global'!D$64="yes",D177,0))</f>
        <v>7.4399999999999995</v>
      </c>
      <c r="E197" s="106">
        <f ca="1">IF(LEFT($A197,5)="blank",0,E$237+E$238+E$239+E$271+(VLOOKUP($A197,Dist1Frontier,COLUMN(E197),FALSE))-IF('Input Global'!E$64="yes",E177,0))</f>
        <v>7.3639999999999999</v>
      </c>
      <c r="F197" s="106">
        <f ca="1">IF(LEFT($A197,5)="blank",0,F$237+F$238+F$239+F$271+(VLOOKUP($A197,Dist1Frontier,COLUMN(F197),FALSE))-IF('Input Global'!F$64="yes",F177,0))</f>
        <v>7.4432486500000001</v>
      </c>
      <c r="G197" s="106">
        <f ca="1">IF(LEFT($A197,5)="blank",0,G$237+G$238+G$239+G$271+(VLOOKUP($A197,Dist1Frontier,COLUMN(G197),FALSE))-IF('Input Global'!G$64="yes",G177,0))</f>
        <v>6.9699169661928035</v>
      </c>
      <c r="H197" s="106">
        <f ca="1">IF(LEFT($A197,5)="blank",0,H$237+H$238+H$239+H$271+(VLOOKUP($A197,Dist1Frontier,COLUMN(H197),FALSE))-IF('Input Global'!H$64="yes",H177,0))</f>
        <v>7.0968483462287297</v>
      </c>
    </row>
    <row r="198" spans="1:14" s="35" customFormat="1" x14ac:dyDescent="0.3">
      <c r="A198" s="35" t="str">
        <f ca="1">'Calc (LRMC Slow Rate)'!$B$2</f>
        <v>Calc (LRMC Slow Rate)</v>
      </c>
      <c r="B198" s="104" t="s">
        <v>31</v>
      </c>
      <c r="C198" s="35" t="s">
        <v>17</v>
      </c>
      <c r="D198" s="106">
        <f ca="1">IF(LEFT($A198,5)="blank",0,D$237+D$238+D$239+D$271+(VLOOKUP($A198,Dist1Frontier,COLUMN(D198),FALSE))-IF('Input Global'!D$64="yes",D178,0))</f>
        <v>7.4399999999999995</v>
      </c>
      <c r="E198" s="106">
        <f ca="1">IF(LEFT($A198,5)="blank",0,E$237+E$238+E$239+E$271+(VLOOKUP($A198,Dist1Frontier,COLUMN(E198),FALSE))-IF('Input Global'!E$64="yes",E178,0))</f>
        <v>7.3639999999999999</v>
      </c>
      <c r="F198" s="106">
        <f ca="1">IF(LEFT($A198,5)="blank",0,F$237+F$238+F$239+F$271+(VLOOKUP($A198,Dist1Frontier,COLUMN(F198),FALSE))-IF('Input Global'!F$64="yes",F178,0))</f>
        <v>7.4432486500000001</v>
      </c>
      <c r="G198" s="106">
        <f ca="1">IF(LEFT($A198,5)="blank",0,G$237+G$238+G$239+G$271+(VLOOKUP($A198,Dist1Frontier,COLUMN(G198),FALSE))-IF('Input Global'!G$64="yes",G178,0))</f>
        <v>7.0767784744459004</v>
      </c>
      <c r="H198" s="106">
        <f ca="1">IF(LEFT($A198,5)="blank",0,H$237+H$238+H$239+H$271+(VLOOKUP($A198,Dist1Frontier,COLUMN(H198),FALSE))-IF('Input Global'!H$64="yes",H178,0))</f>
        <v>7.1462621944657396</v>
      </c>
    </row>
    <row r="199" spans="1:14" s="35" customFormat="1" x14ac:dyDescent="0.3">
      <c r="A199" s="35" t="str">
        <f ca="1">'Calc (Market Planning Case)'!$B$2</f>
        <v>Calc (Market Planning Case)</v>
      </c>
      <c r="B199" s="104" t="s">
        <v>31</v>
      </c>
      <c r="C199" s="35" t="s">
        <v>17</v>
      </c>
      <c r="D199" s="106">
        <f ca="1">IF(LEFT($A199,5)="blank",0,D$237+D$238+D$239+D$271+(VLOOKUP($A199,Dist1Frontier,COLUMN(D199),FALSE))-IF('Input Global'!D$64="yes",D179,0))</f>
        <v>7.4399999999999995</v>
      </c>
      <c r="E199" s="106">
        <f ca="1">IF(LEFT($A199,5)="blank",0,E$237+E$238+E$239+E$271+(VLOOKUP($A199,Dist1Frontier,COLUMN(E199),FALSE))-IF('Input Global'!E$64="yes",E179,0))</f>
        <v>7.3639999999999999</v>
      </c>
      <c r="F199" s="106">
        <f ca="1">IF(LEFT($A199,5)="blank",0,F$237+F$238+F$239+F$271+(VLOOKUP($A199,Dist1Frontier,COLUMN(F199),FALSE))-IF('Input Global'!F$64="yes",F179,0))</f>
        <v>7.4432486500000001</v>
      </c>
      <c r="G199" s="106">
        <f ca="1">IF(LEFT($A199,5)="blank",0,G$237+G$238+G$239+G$271+(VLOOKUP($A199,Dist1Frontier,COLUMN(G199),FALSE))-IF('Input Global'!G$64="yes",G179,0))</f>
        <v>6.6607435130471178</v>
      </c>
      <c r="H199" s="106">
        <f ca="1">IF(LEFT($A199,5)="blank",0,H$237+H$238+H$239+H$271+(VLOOKUP($A199,Dist1Frontier,COLUMN(H199),FALSE))-IF('Input Global'!H$64="yes",H179,0))</f>
        <v>6.9214277393971884</v>
      </c>
    </row>
    <row r="200" spans="1:14" s="35" customFormat="1" x14ac:dyDescent="0.3">
      <c r="A200" s="35" t="str">
        <f ca="1">'Calc (Market Slow Rate)'!$B$2</f>
        <v>Calc (Market Slow Rate)</v>
      </c>
      <c r="B200" s="104" t="s">
        <v>31</v>
      </c>
      <c r="C200" s="35" t="s">
        <v>17</v>
      </c>
      <c r="D200" s="106">
        <f ca="1">IF(LEFT($A200,5)="blank",0,D$237+D$238+D$239+D$271+(VLOOKUP($A200,Dist1Frontier,COLUMN(D200),FALSE))-IF('Input Global'!D$64="yes",D180,0))</f>
        <v>7.4399999999999995</v>
      </c>
      <c r="E200" s="106">
        <f ca="1">IF(LEFT($A200,5)="blank",0,E$237+E$238+E$239+E$271+(VLOOKUP($A200,Dist1Frontier,COLUMN(E200),FALSE))-IF('Input Global'!E$64="yes",E180,0))</f>
        <v>7.3639999999999999</v>
      </c>
      <c r="F200" s="106">
        <f ca="1">IF(LEFT($A200,5)="blank",0,F$237+F$238+F$239+F$271+(VLOOKUP($A200,Dist1Frontier,COLUMN(F200),FALSE))-IF('Input Global'!F$64="yes",F180,0))</f>
        <v>7.4432486500000001</v>
      </c>
      <c r="G200" s="106">
        <f ca="1">IF(LEFT($A200,5)="blank",0,G$237+G$238+G$239+G$271+(VLOOKUP($A200,Dist1Frontier,COLUMN(G200),FALSE))-IF('Input Global'!G$64="yes",G180,0))</f>
        <v>7.1016094088231636</v>
      </c>
      <c r="H200" s="106">
        <f ca="1">IF(LEFT($A200,5)="blank",0,H$237+H$238+H$239+H$271+(VLOOKUP($A200,Dist1Frontier,COLUMN(H200),FALSE))-IF('Input Global'!H$64="yes",H180,0))</f>
        <v>6.8696143157774658</v>
      </c>
    </row>
    <row r="201" spans="1:14" s="35" customFormat="1" x14ac:dyDescent="0.3">
      <c r="A201" s="38" t="str">
        <f>Dist2</f>
        <v>Essential</v>
      </c>
      <c r="D201" s="39"/>
      <c r="E201" s="39"/>
      <c r="F201" s="39"/>
      <c r="G201" s="39"/>
      <c r="H201" s="39"/>
    </row>
    <row r="202" spans="1:14" s="35" customFormat="1" x14ac:dyDescent="0.3">
      <c r="A202" s="35" t="str">
        <f ca="1">'Calc (Jurisdiction)'!$B$2</f>
        <v>Calc (Jurisdiction)</v>
      </c>
      <c r="B202" s="104" t="s">
        <v>31</v>
      </c>
      <c r="C202" s="35" t="s">
        <v>17</v>
      </c>
      <c r="D202" s="80">
        <f ca="1">IF(LEFT($A202,5)="blank",0,D$248+D$249+D$250+D$271+(VLOOKUP($A202,dist2frontier,COLUMN(D202),FALSE))-IF('Input Global'!D$64="yes",D182,0))</f>
        <v>7.2590000000000003</v>
      </c>
      <c r="E202" s="106">
        <f ca="1">IF(LEFT($A202,5)="blank",0,E$248+E$249+E$250+E$271+(VLOOKUP($A202,dist2frontier,COLUMN(E202),FALSE))-IF('Input Global'!E$64="yes",E182,0))</f>
        <v>7.1310000000000002</v>
      </c>
      <c r="F202" s="106">
        <f ca="1">IF(LEFT($A202,5)="blank",0,F$248+F$249+F$250+F$271+(VLOOKUP($A202,dist2frontier,COLUMN(F202),FALSE))-IF('Input Global'!F$64="yes",F182,0))</f>
        <v>7.4586236499999998</v>
      </c>
      <c r="G202" s="106">
        <f ca="1">IF(LEFT($A202,5)="blank",0,G$248+G$249+G$250+G$271+(VLOOKUP($A202,dist2frontier,COLUMN(G202),FALSE))-IF('Input Global'!G$64="yes",G182,0))</f>
        <v>6.6335144346993262</v>
      </c>
      <c r="H202" s="106">
        <f ca="1">IF(LEFT($A202,5)="blank",0,H$248+H$249+H$250+H$271+(VLOOKUP($A202,dist2frontier,COLUMN(H202),FALSE))-IF('Input Global'!H$64="yes",H182,0))</f>
        <v>6.7548081848323278</v>
      </c>
    </row>
    <row r="203" spans="1:14" s="35" customFormat="1" x14ac:dyDescent="0.3">
      <c r="A203" s="35" t="str">
        <f ca="1">'Calc (LRMC Planning case)'!$B$2</f>
        <v>Calc (LRMC Planning case)</v>
      </c>
      <c r="B203" s="104" t="s">
        <v>31</v>
      </c>
      <c r="C203" s="35" t="s">
        <v>17</v>
      </c>
      <c r="D203" s="106">
        <f ca="1">IF(LEFT($A203,5)="blank",0,D$248+D$249+D$250+D$271+(VLOOKUP($A203,dist2frontier,COLUMN(D203),FALSE))-IF('Input Global'!D$64="yes",D183,0))</f>
        <v>7.2590000000000003</v>
      </c>
      <c r="E203" s="106">
        <f ca="1">IF(LEFT($A203,5)="blank",0,E$248+E$249+E$250+E$271+(VLOOKUP($A203,dist2frontier,COLUMN(E203),FALSE))-IF('Input Global'!E$64="yes",E183,0))</f>
        <v>7.1310000000000002</v>
      </c>
      <c r="F203" s="106">
        <f ca="1">IF(LEFT($A203,5)="blank",0,F$248+F$249+F$250+F$271+(VLOOKUP($A203,dist2frontier,COLUMN(F203),FALSE))-IF('Input Global'!F$64="yes",F183,0))</f>
        <v>7.4586236499999998</v>
      </c>
      <c r="G203" s="106">
        <f ca="1">IF(LEFT($A203,5)="blank",0,G$248+G$249+G$250+G$271+(VLOOKUP($A203,dist2frontier,COLUMN(G203),FALSE))-IF('Input Global'!G$64="yes",G183,0))</f>
        <v>6.6335144346993262</v>
      </c>
      <c r="H203" s="106">
        <f ca="1">IF(LEFT($A203,5)="blank",0,H$248+H$249+H$250+H$271+(VLOOKUP($A203,dist2frontier,COLUMN(H203),FALSE))-IF('Input Global'!H$64="yes",H183,0))</f>
        <v>6.7548081848323278</v>
      </c>
    </row>
    <row r="204" spans="1:14" s="35" customFormat="1" x14ac:dyDescent="0.3">
      <c r="A204" s="35" t="str">
        <f ca="1">'Calc (LRMC Slow Rate)'!$B$2</f>
        <v>Calc (LRMC Slow Rate)</v>
      </c>
      <c r="B204" s="104" t="s">
        <v>31</v>
      </c>
      <c r="C204" s="35" t="s">
        <v>17</v>
      </c>
      <c r="D204" s="106">
        <f ca="1">IF(LEFT($A204,5)="blank",0,D$248+D$249+D$250+D$271+(VLOOKUP($A204,dist2frontier,COLUMN(D204),FALSE))-IF('Input Global'!D$64="yes",D184,0))</f>
        <v>7.2590000000000003</v>
      </c>
      <c r="E204" s="106">
        <f ca="1">IF(LEFT($A204,5)="blank",0,E$248+E$249+E$250+E$271+(VLOOKUP($A204,dist2frontier,COLUMN(E204),FALSE))-IF('Input Global'!E$64="yes",E184,0))</f>
        <v>7.1310000000000002</v>
      </c>
      <c r="F204" s="106">
        <f ca="1">IF(LEFT($A204,5)="blank",0,F$248+F$249+F$250+F$271+(VLOOKUP($A204,dist2frontier,COLUMN(F204),FALSE))-IF('Input Global'!F$64="yes",F184,0))</f>
        <v>7.4586236499999998</v>
      </c>
      <c r="G204" s="106">
        <f ca="1">IF(LEFT($A204,5)="blank",0,G$248+G$249+G$250+G$271+(VLOOKUP($A204,dist2frontier,COLUMN(G204),FALSE))-IF('Input Global'!G$64="yes",G184,0))</f>
        <v>6.7341897389805032</v>
      </c>
      <c r="H204" s="106">
        <f ca="1">IF(LEFT($A204,5)="blank",0,H$248+H$249+H$250+H$271+(VLOOKUP($A204,dist2frontier,COLUMN(H204),FALSE))-IF('Input Global'!H$64="yes",H184,0))</f>
        <v>7.1337126506261397</v>
      </c>
    </row>
    <row r="205" spans="1:14" s="35" customFormat="1" x14ac:dyDescent="0.3">
      <c r="A205" s="35" t="str">
        <f ca="1">'Calc (Market Planning Case)'!$B$2</f>
        <v>Calc (Market Planning Case)</v>
      </c>
      <c r="B205" s="104" t="s">
        <v>31</v>
      </c>
      <c r="C205" s="35" t="s">
        <v>17</v>
      </c>
      <c r="D205" s="106">
        <f ca="1">IF(LEFT($A205,5)="blank",0,D$248+D$249+D$250+D$271+(VLOOKUP($A205,dist2frontier,COLUMN(D205),FALSE))-IF('Input Global'!D$64="yes",D185,0))</f>
        <v>7.2590000000000003</v>
      </c>
      <c r="E205" s="106">
        <f ca="1">IF(LEFT($A205,5)="blank",0,E$248+E$249+E$250+E$271+(VLOOKUP($A205,dist2frontier,COLUMN(E205),FALSE))-IF('Input Global'!E$64="yes",E185,0))</f>
        <v>7.1310000000000002</v>
      </c>
      <c r="F205" s="106">
        <f ca="1">IF(LEFT($A205,5)="blank",0,F$248+F$249+F$250+F$271+(VLOOKUP($A205,dist2frontier,COLUMN(F205),FALSE))-IF('Input Global'!F$64="yes",F185,0))</f>
        <v>7.4586236499999998</v>
      </c>
      <c r="G205" s="106">
        <f ca="1">IF(LEFT($A205,5)="blank",0,G$248+G$249+G$250+G$271+(VLOOKUP($A205,dist2frontier,COLUMN(G205),FALSE))-IF('Input Global'!G$64="yes",G185,0))</f>
        <v>6.3140576674527953</v>
      </c>
      <c r="H205" s="106">
        <f ca="1">IF(LEFT($A205,5)="blank",0,H$248+H$249+H$250+H$271+(VLOOKUP($A205,dist2frontier,COLUMN(H205),FALSE))-IF('Input Global'!H$64="yes",H185,0))</f>
        <v>6.563340433519893</v>
      </c>
    </row>
    <row r="206" spans="1:14" s="35" customFormat="1" x14ac:dyDescent="0.3">
      <c r="A206" s="35" t="str">
        <f ca="1">'Calc (Market Slow Rate)'!$B$2</f>
        <v>Calc (Market Slow Rate)</v>
      </c>
      <c r="B206" s="104" t="s">
        <v>31</v>
      </c>
      <c r="C206" s="35" t="s">
        <v>17</v>
      </c>
      <c r="D206" s="106">
        <f ca="1">IF(LEFT($A206,5)="blank",0,D$248+D$249+D$250+D$271+(VLOOKUP($A206,dist2frontier,COLUMN(D206),FALSE))-IF('Input Global'!D$64="yes",D186,0))</f>
        <v>7.2590000000000003</v>
      </c>
      <c r="E206" s="106">
        <f ca="1">IF(LEFT($A206,5)="blank",0,E$248+E$249+E$250+E$271+(VLOOKUP($A206,dist2frontier,COLUMN(E206),FALSE))-IF('Input Global'!E$64="yes",E186,0))</f>
        <v>7.1310000000000002</v>
      </c>
      <c r="F206" s="106">
        <f ca="1">IF(LEFT($A206,5)="blank",0,F$248+F$249+F$250+F$271+(VLOOKUP($A206,dist2frontier,COLUMN(F206),FALSE))-IF('Input Global'!F$64="yes",F186,0))</f>
        <v>7.4586236499999998</v>
      </c>
      <c r="G206" s="106">
        <f ca="1">IF(LEFT($A206,5)="blank",0,G$248+G$249+G$250+G$271+(VLOOKUP($A206,dist2frontier,COLUMN(G206),FALSE))-IF('Input Global'!G$64="yes",G186,0))</f>
        <v>6.5742592126566795</v>
      </c>
      <c r="H206" s="106">
        <f ca="1">IF(LEFT($A206,5)="blank",0,H$248+H$249+H$250+H$271+(VLOOKUP($A206,dist2frontier,COLUMN(H206),FALSE))-IF('Input Global'!H$64="yes",H186,0))</f>
        <v>6.5065560905507667</v>
      </c>
    </row>
    <row r="207" spans="1:14" s="35" customFormat="1" x14ac:dyDescent="0.3">
      <c r="A207" s="38" t="str">
        <f>Dist3</f>
        <v>Endeavour</v>
      </c>
      <c r="D207" s="39"/>
      <c r="E207" s="39"/>
      <c r="F207" s="39"/>
      <c r="G207" s="39"/>
      <c r="H207" s="39"/>
    </row>
    <row r="208" spans="1:14" s="35" customFormat="1" x14ac:dyDescent="0.3">
      <c r="A208" s="35" t="str">
        <f ca="1">'Calc (Jurisdiction)'!$B$2</f>
        <v>Calc (Jurisdiction)</v>
      </c>
      <c r="B208" s="104" t="s">
        <v>31</v>
      </c>
      <c r="C208" s="35" t="s">
        <v>17</v>
      </c>
      <c r="D208" s="80">
        <f ca="1">IF(LEFT($A208,5)="blank",0,D$259+D$260+D$261+D$271+(VLOOKUP($A208,dist3frontier,COLUMN(D208),FALSE))-IF('Input Global'!D$64="yes",D188,0))</f>
        <v>7.7910000000000004</v>
      </c>
      <c r="E208" s="106">
        <f ca="1">IF(LEFT($A208,5)="blank",0,E$259+E$260+E$261+E$271+(VLOOKUP($A208,dist3frontier,COLUMN(E208),FALSE))-IF('Input Global'!E$64="yes",E188,0))</f>
        <v>7.8330000000000002</v>
      </c>
      <c r="F208" s="106">
        <f ca="1">IF(LEFT($A208,5)="blank",0,F$259+F$260+F$261+F$271+(VLOOKUP($A208,dist3frontier,COLUMN(F208),FALSE))-IF('Input Global'!F$64="yes",F188,0))</f>
        <v>7.9835999999999991</v>
      </c>
      <c r="G208" s="106">
        <f ca="1">IF(LEFT($A208,5)="blank",0,G$259+G$260+G$261+G$271+(VLOOKUP($A208,dist3frontier,COLUMN(G208),FALSE))-IF('Input Global'!G$64="yes",G188,0))</f>
        <v>7.3844164224436932</v>
      </c>
      <c r="H208" s="106">
        <f ca="1">IF(LEFT($A208,5)="blank",0,H$259+H$260+H$261+H$271+(VLOOKUP($A208,dist3frontier,COLUMN(H208),FALSE))-IF('Input Global'!H$64="yes",H188,0))</f>
        <v>7.5201748697774233</v>
      </c>
    </row>
    <row r="209" spans="1:14" s="35" customFormat="1" x14ac:dyDescent="0.3">
      <c r="A209" s="35" t="str">
        <f ca="1">'Calc (LRMC Planning case)'!$B$2</f>
        <v>Calc (LRMC Planning case)</v>
      </c>
      <c r="B209" s="104" t="s">
        <v>31</v>
      </c>
      <c r="C209" s="35" t="s">
        <v>17</v>
      </c>
      <c r="D209" s="106">
        <f ca="1">IF(LEFT($A209,5)="blank",0,D$259+D$260+D$261+D$271+(VLOOKUP($A209,dist3frontier,COLUMN(D209),FALSE))-IF('Input Global'!D$64="yes",D189,0))</f>
        <v>7.7910000000000004</v>
      </c>
      <c r="E209" s="106">
        <f ca="1">IF(LEFT($A209,5)="blank",0,E$259+E$260+E$261+E$271+(VLOOKUP($A209,dist3frontier,COLUMN(E209),FALSE))-IF('Input Global'!E$64="yes",E189,0))</f>
        <v>7.8330000000000002</v>
      </c>
      <c r="F209" s="106">
        <f ca="1">IF(LEFT($A209,5)="blank",0,F$259+F$260+F$261+F$271+(VLOOKUP($A209,dist3frontier,COLUMN(F209),FALSE))-IF('Input Global'!F$64="yes",F189,0))</f>
        <v>7.9835999999999991</v>
      </c>
      <c r="G209" s="106">
        <f ca="1">IF(LEFT($A209,5)="blank",0,G$259+G$260+G$261+G$271+(VLOOKUP($A209,dist3frontier,COLUMN(G209),FALSE))-IF('Input Global'!G$64="yes",G189,0))</f>
        <v>7.3844164224436932</v>
      </c>
      <c r="H209" s="106">
        <f ca="1">IF(LEFT($A209,5)="blank",0,H$259+H$260+H$261+H$271+(VLOOKUP($A209,dist3frontier,COLUMN(H209),FALSE))-IF('Input Global'!H$64="yes",H189,0))</f>
        <v>7.5201748697774233</v>
      </c>
    </row>
    <row r="210" spans="1:14" s="35" customFormat="1" x14ac:dyDescent="0.3">
      <c r="A210" s="35" t="str">
        <f ca="1">'Calc (LRMC Slow Rate)'!$B$2</f>
        <v>Calc (LRMC Slow Rate)</v>
      </c>
      <c r="B210" s="104" t="s">
        <v>31</v>
      </c>
      <c r="C210" s="35" t="s">
        <v>17</v>
      </c>
      <c r="D210" s="106">
        <f ca="1">IF(LEFT($A210,5)="blank",0,D$259+D$260+D$261+D$271+(VLOOKUP($A210,dist3frontier,COLUMN(D210),FALSE))-IF('Input Global'!D$64="yes",D190,0))</f>
        <v>7.7910000000000004</v>
      </c>
      <c r="E210" s="106">
        <f ca="1">IF(LEFT($A210,5)="blank",0,E$259+E$260+E$261+E$271+(VLOOKUP($A210,dist3frontier,COLUMN(E210),FALSE))-IF('Input Global'!E$64="yes",E190,0))</f>
        <v>7.8330000000000002</v>
      </c>
      <c r="F210" s="106">
        <f ca="1">IF(LEFT($A210,5)="blank",0,F$259+F$260+F$261+F$271+(VLOOKUP($A210,dist3frontier,COLUMN(F210),FALSE))-IF('Input Global'!F$64="yes",F190,0))</f>
        <v>7.9835999999999991</v>
      </c>
      <c r="G210" s="106">
        <f ca="1">IF(LEFT($A210,5)="blank",0,G$259+G$260+G$261+G$271+(VLOOKUP($A210,dist3frontier,COLUMN(G210),FALSE))-IF('Input Global'!G$64="yes",G190,0))</f>
        <v>7.4943609183160493</v>
      </c>
      <c r="H210" s="106">
        <f ca="1">IF(LEFT($A210,5)="blank",0,H$259+H$260+H$261+H$271+(VLOOKUP($A210,dist3frontier,COLUMN(H210),FALSE))-IF('Input Global'!H$64="yes",H190,0))</f>
        <v>7.5696280827586859</v>
      </c>
    </row>
    <row r="211" spans="1:14" s="35" customFormat="1" x14ac:dyDescent="0.3">
      <c r="A211" s="35" t="str">
        <f ca="1">'Calc (Market Planning Case)'!$B$2</f>
        <v>Calc (Market Planning Case)</v>
      </c>
      <c r="B211" s="104" t="s">
        <v>31</v>
      </c>
      <c r="C211" s="35" t="s">
        <v>17</v>
      </c>
      <c r="D211" s="106">
        <f ca="1">IF(LEFT($A211,5)="blank",0,D$259+D$260+D$261+D$271+(VLOOKUP($A211,dist3frontier,COLUMN(D211),FALSE))-IF('Input Global'!D$64="yes",D191,0))</f>
        <v>7.7910000000000004</v>
      </c>
      <c r="E211" s="106">
        <f ca="1">IF(LEFT($A211,5)="blank",0,E$259+E$260+E$261+E$271+(VLOOKUP($A211,dist3frontier,COLUMN(E211),FALSE))-IF('Input Global'!E$64="yes",E191,0))</f>
        <v>7.8330000000000002</v>
      </c>
      <c r="F211" s="106">
        <f ca="1">IF(LEFT($A211,5)="blank",0,F$259+F$260+F$261+F$271+(VLOOKUP($A211,dist3frontier,COLUMN(F211),FALSE))-IF('Input Global'!F$64="yes",F191,0))</f>
        <v>7.9835999999999991</v>
      </c>
      <c r="G211" s="106">
        <f ca="1">IF(LEFT($A211,5)="blank",0,G$259+G$260+G$261+G$271+(VLOOKUP($A211,dist3frontier,COLUMN(G211),FALSE))-IF('Input Global'!G$64="yes",G191,0))</f>
        <v>7.0278332716142025</v>
      </c>
      <c r="H211" s="106">
        <f ca="1">IF(LEFT($A211,5)="blank",0,H$259+H$260+H$261+H$271+(VLOOKUP($A211,dist3frontier,COLUMN(H211),FALSE))-IF('Input Global'!H$64="yes",H191,0))</f>
        <v>7.3110200030138817</v>
      </c>
    </row>
    <row r="212" spans="1:14" s="35" customFormat="1" x14ac:dyDescent="0.3">
      <c r="A212" s="35" t="str">
        <f ca="1">'Calc (Market Slow Rate)'!$B$2</f>
        <v>Calc (Market Slow Rate)</v>
      </c>
      <c r="B212" s="104" t="s">
        <v>31</v>
      </c>
      <c r="C212" s="35" t="s">
        <v>17</v>
      </c>
      <c r="D212" s="106">
        <f ca="1">IF(LEFT($A212,5)="blank",0,D$259+D$260+D$261+D$271+(VLOOKUP($A212,dist3frontier,COLUMN(D212),FALSE))-IF('Input Global'!D$64="yes",D192,0))</f>
        <v>7.7910000000000004</v>
      </c>
      <c r="E212" s="106">
        <f ca="1">IF(LEFT($A212,5)="blank",0,E$259+E$260+E$261+E$271+(VLOOKUP($A212,dist3frontier,COLUMN(E212),FALSE))-IF('Input Global'!E$64="yes",E192,0))</f>
        <v>7.8330000000000002</v>
      </c>
      <c r="F212" s="106">
        <f ca="1">IF(LEFT($A212,5)="blank",0,F$259+F$260+F$261+F$271+(VLOOKUP($A212,dist3frontier,COLUMN(F212),FALSE))-IF('Input Global'!F$64="yes",F192,0))</f>
        <v>7.9835999999999991</v>
      </c>
      <c r="G212" s="106">
        <f ca="1">IF(LEFT($A212,5)="blank",0,G$259+G$260+G$261+G$271+(VLOOKUP($A212,dist3frontier,COLUMN(G212),FALSE))-IF('Input Global'!G$64="yes",G192,0))</f>
        <v>7.3081502874463693</v>
      </c>
      <c r="H212" s="106">
        <f ca="1">IF(LEFT($A212,5)="blank",0,H$259+H$260+H$261+H$271+(VLOOKUP($A212,dist3frontier,COLUMN(H212),FALSE))-IF('Input Global'!H$64="yes",H192,0))</f>
        <v>7.2395580706351472</v>
      </c>
    </row>
    <row r="213" spans="1:14" s="35" customFormat="1" x14ac:dyDescent="0.3"/>
    <row r="214" spans="1:14" s="35" customFormat="1" x14ac:dyDescent="0.3">
      <c r="A214" s="21" t="s">
        <v>96</v>
      </c>
    </row>
    <row r="215" spans="1:14" s="35" customFormat="1" x14ac:dyDescent="0.3">
      <c r="A215" s="38" t="str">
        <f>Dist1</f>
        <v xml:space="preserve">Ausgrid </v>
      </c>
      <c r="K215" s="45"/>
      <c r="L215" s="45"/>
      <c r="M215" s="45"/>
      <c r="N215" s="45"/>
    </row>
    <row r="216" spans="1:14" s="35" customFormat="1" x14ac:dyDescent="0.3">
      <c r="A216" s="35" t="str">
        <f ca="1">'Calc (Jurisdiction)'!$B$2</f>
        <v>Calc (Jurisdiction)</v>
      </c>
      <c r="B216" s="104" t="s">
        <v>31</v>
      </c>
      <c r="C216" s="35" t="s">
        <v>17</v>
      </c>
      <c r="D216" s="80">
        <f t="shared" ref="D216:H220" ca="1" si="27">IF(LEFT($A216,5)="blank",0,IF($C$241="$/mWh",D$241*100/1000,IF($C$241="$/kwh",D$241*100,D$241))+(VLOOKUP($A216,dist1LRET,COLUMN(D216),FALSE)))</f>
        <v>0.184</v>
      </c>
      <c r="E216" s="80">
        <f t="shared" ca="1" si="27"/>
        <v>0.27367499999999995</v>
      </c>
      <c r="F216" s="80">
        <f t="shared" ca="1" si="27"/>
        <v>0.45407499999999995</v>
      </c>
      <c r="G216" s="80">
        <f t="shared" ca="1" si="27"/>
        <v>0.48656703551322888</v>
      </c>
      <c r="H216" s="80">
        <f t="shared" ca="1" si="27"/>
        <v>0.51525335563716224</v>
      </c>
      <c r="K216" s="50"/>
      <c r="L216" s="50"/>
      <c r="M216" s="50"/>
      <c r="N216" s="50"/>
    </row>
    <row r="217" spans="1:14" s="35" customFormat="1" x14ac:dyDescent="0.3">
      <c r="A217" s="35" t="str">
        <f ca="1">'Calc (LRMC Planning case)'!$B$2</f>
        <v>Calc (LRMC Planning case)</v>
      </c>
      <c r="B217" s="104" t="s">
        <v>31</v>
      </c>
      <c r="C217" s="35" t="s">
        <v>17</v>
      </c>
      <c r="D217" s="80">
        <f t="shared" ca="1" si="27"/>
        <v>0.184</v>
      </c>
      <c r="E217" s="80">
        <f t="shared" ca="1" si="27"/>
        <v>0.27367499999999995</v>
      </c>
      <c r="F217" s="80">
        <f t="shared" ca="1" si="27"/>
        <v>0.45407499999999995</v>
      </c>
      <c r="G217" s="80">
        <f t="shared" ca="1" si="27"/>
        <v>0.48656703551322888</v>
      </c>
      <c r="H217" s="80">
        <f t="shared" ca="1" si="27"/>
        <v>0.51525335563716224</v>
      </c>
    </row>
    <row r="218" spans="1:14" s="35" customFormat="1" x14ac:dyDescent="0.3">
      <c r="A218" s="35" t="str">
        <f ca="1">'Calc (LRMC Slow Rate)'!$B$2</f>
        <v>Calc (LRMC Slow Rate)</v>
      </c>
      <c r="B218" s="104" t="s">
        <v>31</v>
      </c>
      <c r="C218" s="35" t="s">
        <v>17</v>
      </c>
      <c r="D218" s="80">
        <f t="shared" ca="1" si="27"/>
        <v>0.184</v>
      </c>
      <c r="E218" s="80">
        <f t="shared" ca="1" si="27"/>
        <v>0.27367499999999995</v>
      </c>
      <c r="F218" s="80">
        <f t="shared" ca="1" si="27"/>
        <v>0.45407499999999995</v>
      </c>
      <c r="G218" s="80">
        <f t="shared" ca="1" si="27"/>
        <v>0.48656705269465428</v>
      </c>
      <c r="H218" s="80">
        <f t="shared" ca="1" si="27"/>
        <v>0.51525329609533654</v>
      </c>
    </row>
    <row r="219" spans="1:14" s="35" customFormat="1" x14ac:dyDescent="0.3">
      <c r="A219" s="35" t="str">
        <f ca="1">'Calc (Market Planning Case)'!$B$2</f>
        <v>Calc (Market Planning Case)</v>
      </c>
      <c r="B219" s="104" t="s">
        <v>31</v>
      </c>
      <c r="C219" s="35" t="s">
        <v>17</v>
      </c>
      <c r="D219" s="80">
        <f t="shared" ca="1" si="27"/>
        <v>0.184</v>
      </c>
      <c r="E219" s="80">
        <f t="shared" ca="1" si="27"/>
        <v>0.27367499999999995</v>
      </c>
      <c r="F219" s="80">
        <f t="shared" ca="1" si="27"/>
        <v>0.45407499999999995</v>
      </c>
      <c r="G219" s="80">
        <f t="shared" ca="1" si="27"/>
        <v>0.48656703551322888</v>
      </c>
      <c r="H219" s="80">
        <f t="shared" ca="1" si="27"/>
        <v>0.51525335563716224</v>
      </c>
    </row>
    <row r="220" spans="1:14" s="35" customFormat="1" x14ac:dyDescent="0.3">
      <c r="A220" s="35" t="str">
        <f ca="1">'Calc (Market Slow Rate)'!$B$2</f>
        <v>Calc (Market Slow Rate)</v>
      </c>
      <c r="B220" s="104" t="s">
        <v>31</v>
      </c>
      <c r="C220" s="35" t="s">
        <v>17</v>
      </c>
      <c r="D220" s="80">
        <f t="shared" ca="1" si="27"/>
        <v>0.184</v>
      </c>
      <c r="E220" s="80">
        <f t="shared" ca="1" si="27"/>
        <v>0.27367499999999995</v>
      </c>
      <c r="F220" s="80">
        <f t="shared" ca="1" si="27"/>
        <v>0.45407499999999995</v>
      </c>
      <c r="G220" s="80">
        <f t="shared" ca="1" si="27"/>
        <v>0.48656705269465428</v>
      </c>
      <c r="H220" s="80">
        <f t="shared" ca="1" si="27"/>
        <v>0.51525329609533654</v>
      </c>
    </row>
    <row r="221" spans="1:14" s="35" customFormat="1" x14ac:dyDescent="0.3">
      <c r="A221" s="38" t="str">
        <f>Dist2</f>
        <v>Essential</v>
      </c>
      <c r="D221" s="39"/>
      <c r="E221" s="39"/>
      <c r="F221" s="39"/>
      <c r="G221" s="39"/>
      <c r="H221" s="39"/>
    </row>
    <row r="222" spans="1:14" s="35" customFormat="1" x14ac:dyDescent="0.3">
      <c r="A222" s="35" t="str">
        <f ca="1">'Calc (Jurisdiction)'!$B$2</f>
        <v>Calc (Jurisdiction)</v>
      </c>
      <c r="B222" s="104" t="s">
        <v>31</v>
      </c>
      <c r="C222" s="35" t="s">
        <v>17</v>
      </c>
      <c r="D222" s="80">
        <f t="shared" ref="D222:H226" ca="1" si="28">IF(LEFT($A222,5)="blank",0,IF(LEFT($A$221,5)="blank",0,IF($C$252="$/mWh",D$252*100/1000,IF($C$252="$/kwh",D$252*100,D$252))+VLOOKUP($A222,Dist2LRET,COLUMN(D222),FALSE)))</f>
        <v>0.184</v>
      </c>
      <c r="E222" s="80">
        <f t="shared" ca="1" si="28"/>
        <v>0.27162499999999995</v>
      </c>
      <c r="F222" s="80">
        <f t="shared" ca="1" si="28"/>
        <v>0.4551</v>
      </c>
      <c r="G222" s="80">
        <f t="shared" ca="1" si="28"/>
        <v>0.4876653809658546</v>
      </c>
      <c r="H222" s="80">
        <f t="shared" ca="1" si="28"/>
        <v>0.51641645576275408</v>
      </c>
    </row>
    <row r="223" spans="1:14" s="35" customFormat="1" x14ac:dyDescent="0.3">
      <c r="A223" s="35" t="str">
        <f ca="1">'Calc (LRMC Planning case)'!$B$2</f>
        <v>Calc (LRMC Planning case)</v>
      </c>
      <c r="B223" s="104" t="s">
        <v>31</v>
      </c>
      <c r="C223" s="35" t="s">
        <v>17</v>
      </c>
      <c r="D223" s="80">
        <f t="shared" ca="1" si="28"/>
        <v>0.184</v>
      </c>
      <c r="E223" s="80">
        <f t="shared" ca="1" si="28"/>
        <v>0.27162499999999995</v>
      </c>
      <c r="F223" s="80">
        <f t="shared" ca="1" si="28"/>
        <v>0.4551</v>
      </c>
      <c r="G223" s="80">
        <f t="shared" ca="1" si="28"/>
        <v>0.4876653809658546</v>
      </c>
      <c r="H223" s="80">
        <f t="shared" ca="1" si="28"/>
        <v>0.51641645576275408</v>
      </c>
    </row>
    <row r="224" spans="1:14" s="35" customFormat="1" x14ac:dyDescent="0.3">
      <c r="A224" s="35" t="str">
        <f ca="1">'Calc (LRMC Slow Rate)'!$B$2</f>
        <v>Calc (LRMC Slow Rate)</v>
      </c>
      <c r="B224" s="104" t="s">
        <v>31</v>
      </c>
      <c r="C224" s="35" t="s">
        <v>17</v>
      </c>
      <c r="D224" s="80">
        <f t="shared" ca="1" si="28"/>
        <v>0.184</v>
      </c>
      <c r="E224" s="80">
        <f t="shared" ca="1" si="28"/>
        <v>0.27162499999999995</v>
      </c>
      <c r="F224" s="80">
        <f t="shared" ca="1" si="28"/>
        <v>0.4551</v>
      </c>
      <c r="G224" s="80">
        <f t="shared" ca="1" si="28"/>
        <v>0.48766539818606436</v>
      </c>
      <c r="H224" s="80">
        <f t="shared" ca="1" si="28"/>
        <v>0.51641639608652246</v>
      </c>
    </row>
    <row r="225" spans="1:11" s="35" customFormat="1" x14ac:dyDescent="0.3">
      <c r="A225" s="35" t="str">
        <f ca="1">'Calc (Market Planning Case)'!$B$2</f>
        <v>Calc (Market Planning Case)</v>
      </c>
      <c r="B225" s="104" t="s">
        <v>31</v>
      </c>
      <c r="C225" s="35" t="s">
        <v>17</v>
      </c>
      <c r="D225" s="80">
        <f t="shared" ca="1" si="28"/>
        <v>0.184</v>
      </c>
      <c r="E225" s="80">
        <f t="shared" ca="1" si="28"/>
        <v>0.27162499999999995</v>
      </c>
      <c r="F225" s="80">
        <f t="shared" ca="1" si="28"/>
        <v>0.4551</v>
      </c>
      <c r="G225" s="80">
        <f t="shared" ca="1" si="28"/>
        <v>0.4876653809658546</v>
      </c>
      <c r="H225" s="80">
        <f t="shared" ca="1" si="28"/>
        <v>0.51641645576275408</v>
      </c>
    </row>
    <row r="226" spans="1:11" s="35" customFormat="1" x14ac:dyDescent="0.3">
      <c r="A226" s="35" t="str">
        <f ca="1">'Calc (Market Slow Rate)'!$B$2</f>
        <v>Calc (Market Slow Rate)</v>
      </c>
      <c r="B226" s="104" t="s">
        <v>31</v>
      </c>
      <c r="C226" s="35" t="s">
        <v>17</v>
      </c>
      <c r="D226" s="80">
        <f t="shared" ca="1" si="28"/>
        <v>0.184</v>
      </c>
      <c r="E226" s="80">
        <f t="shared" ca="1" si="28"/>
        <v>0.27162499999999995</v>
      </c>
      <c r="F226" s="80">
        <f t="shared" ca="1" si="28"/>
        <v>0.4551</v>
      </c>
      <c r="G226" s="80">
        <f t="shared" ca="1" si="28"/>
        <v>0.48766539818606436</v>
      </c>
      <c r="H226" s="80">
        <f t="shared" ca="1" si="28"/>
        <v>0.51641639608652246</v>
      </c>
    </row>
    <row r="227" spans="1:11" s="35" customFormat="1" x14ac:dyDescent="0.3">
      <c r="A227" s="38" t="str">
        <f>Dist3</f>
        <v>Endeavour</v>
      </c>
      <c r="D227" s="39"/>
      <c r="E227" s="39"/>
      <c r="F227" s="39"/>
      <c r="G227" s="39"/>
      <c r="H227" s="39"/>
    </row>
    <row r="228" spans="1:11" s="35" customFormat="1" x14ac:dyDescent="0.3">
      <c r="A228" s="35" t="str">
        <f ca="1">'Calc (Jurisdiction)'!$B$2</f>
        <v>Calc (Jurisdiction)</v>
      </c>
      <c r="B228" s="104" t="s">
        <v>31</v>
      </c>
      <c r="C228" s="35" t="s">
        <v>17</v>
      </c>
      <c r="D228" s="80">
        <f t="shared" ref="D228:H232" ca="1" si="29">IF(LEFT($A228,5)="blank",0,IF(LEFT($A$227,5)="blank",0,IF($C$263="$/mWh",D$263*100/1000,IF($C$263="$/kwh",D$263*100,D$263))+VLOOKUP($A228,Dist3LRET,COLUMN(D228),FALSE)))</f>
        <v>0.184</v>
      </c>
      <c r="E228" s="106">
        <f t="shared" ca="1" si="29"/>
        <v>0.27060000000000001</v>
      </c>
      <c r="F228" s="106">
        <f t="shared" ca="1" si="29"/>
        <v>0.45700000000000002</v>
      </c>
      <c r="G228" s="106">
        <f t="shared" ca="1" si="29"/>
        <v>0.48970133839023428</v>
      </c>
      <c r="H228" s="106">
        <f t="shared" ca="1" si="29"/>
        <v>0.51857244623946097</v>
      </c>
    </row>
    <row r="229" spans="1:11" s="35" customFormat="1" x14ac:dyDescent="0.3">
      <c r="A229" s="35" t="str">
        <f ca="1">'Calc (LRMC Planning case)'!$B$2</f>
        <v>Calc (LRMC Planning case)</v>
      </c>
      <c r="B229" s="104" t="s">
        <v>31</v>
      </c>
      <c r="C229" s="35" t="s">
        <v>17</v>
      </c>
      <c r="D229" s="106">
        <f t="shared" ca="1" si="29"/>
        <v>0.184</v>
      </c>
      <c r="E229" s="106">
        <f t="shared" ca="1" si="29"/>
        <v>0.27060000000000001</v>
      </c>
      <c r="F229" s="106">
        <f t="shared" ca="1" si="29"/>
        <v>0.45700000000000002</v>
      </c>
      <c r="G229" s="106">
        <f t="shared" ca="1" si="29"/>
        <v>0.48970133839023428</v>
      </c>
      <c r="H229" s="106">
        <f t="shared" ca="1" si="29"/>
        <v>0.51857244623946097</v>
      </c>
    </row>
    <row r="230" spans="1:11" s="35" customFormat="1" x14ac:dyDescent="0.3">
      <c r="A230" s="35" t="str">
        <f ca="1">'Calc (LRMC Slow Rate)'!$B$2</f>
        <v>Calc (LRMC Slow Rate)</v>
      </c>
      <c r="B230" s="104" t="s">
        <v>31</v>
      </c>
      <c r="C230" s="35" t="s">
        <v>17</v>
      </c>
      <c r="D230" s="106">
        <f t="shared" ca="1" si="29"/>
        <v>0.184</v>
      </c>
      <c r="E230" s="106">
        <f t="shared" ca="1" si="29"/>
        <v>0.27060000000000001</v>
      </c>
      <c r="F230" s="106">
        <f t="shared" ca="1" si="29"/>
        <v>0.45700000000000002</v>
      </c>
      <c r="G230" s="106">
        <f t="shared" ca="1" si="29"/>
        <v>0.48970135568233669</v>
      </c>
      <c r="H230" s="106">
        <f t="shared" ca="1" si="29"/>
        <v>0.51857238631408642</v>
      </c>
    </row>
    <row r="231" spans="1:11" s="35" customFormat="1" x14ac:dyDescent="0.3">
      <c r="A231" s="35" t="str">
        <f ca="1">'Calc (Market Planning Case)'!$B$2</f>
        <v>Calc (Market Planning Case)</v>
      </c>
      <c r="B231" s="104" t="s">
        <v>31</v>
      </c>
      <c r="C231" s="35" t="s">
        <v>17</v>
      </c>
      <c r="D231" s="106">
        <f t="shared" ca="1" si="29"/>
        <v>0.184</v>
      </c>
      <c r="E231" s="106">
        <f t="shared" ca="1" si="29"/>
        <v>0.27060000000000001</v>
      </c>
      <c r="F231" s="106">
        <f t="shared" ca="1" si="29"/>
        <v>0.45700000000000002</v>
      </c>
      <c r="G231" s="106">
        <f t="shared" ca="1" si="29"/>
        <v>0.48970133839023428</v>
      </c>
      <c r="H231" s="106">
        <f t="shared" ca="1" si="29"/>
        <v>0.51857244623946097</v>
      </c>
    </row>
    <row r="232" spans="1:11" s="35" customFormat="1" x14ac:dyDescent="0.3">
      <c r="A232" s="35" t="str">
        <f ca="1">'Calc (Market Slow Rate)'!$B$2</f>
        <v>Calc (Market Slow Rate)</v>
      </c>
      <c r="B232" s="104" t="s">
        <v>31</v>
      </c>
      <c r="C232" s="35" t="s">
        <v>17</v>
      </c>
      <c r="D232" s="106">
        <f t="shared" ca="1" si="29"/>
        <v>0.184</v>
      </c>
      <c r="E232" s="106">
        <f t="shared" ca="1" si="29"/>
        <v>0.27060000000000001</v>
      </c>
      <c r="F232" s="106">
        <f t="shared" ca="1" si="29"/>
        <v>0.45700000000000002</v>
      </c>
      <c r="G232" s="106">
        <f t="shared" ca="1" si="29"/>
        <v>0.48970135568233669</v>
      </c>
      <c r="H232" s="106">
        <f t="shared" ca="1" si="29"/>
        <v>0.51857238631408642</v>
      </c>
    </row>
    <row r="233" spans="1:11" s="35" customFormat="1" x14ac:dyDescent="0.3"/>
    <row r="234" spans="1:11" s="35" customFormat="1" x14ac:dyDescent="0.3">
      <c r="A234" s="21" t="str">
        <f>"Jurisdiction Data"</f>
        <v>Jurisdiction Data</v>
      </c>
      <c r="D234" s="59"/>
      <c r="E234" s="59"/>
      <c r="F234" s="59"/>
      <c r="G234" s="59"/>
      <c r="H234" s="59"/>
    </row>
    <row r="235" spans="1:11" s="35" customFormat="1" x14ac:dyDescent="0.3">
      <c r="A235" s="54" t="str">
        <f>Dist1</f>
        <v xml:space="preserve">Ausgrid </v>
      </c>
      <c r="B235" s="104"/>
      <c r="C235" s="104"/>
      <c r="D235" s="104"/>
      <c r="E235" s="104"/>
      <c r="F235" s="104"/>
      <c r="G235" s="104"/>
      <c r="H235" s="104"/>
    </row>
    <row r="236" spans="1:11" s="35" customFormat="1" x14ac:dyDescent="0.3">
      <c r="A236" s="87" t="s">
        <v>70</v>
      </c>
      <c r="B236" s="104" t="s">
        <v>31</v>
      </c>
      <c r="C236" s="104" t="s">
        <v>17</v>
      </c>
      <c r="D236" s="119">
        <f t="shared" ref="D236:H244" si="30">IF($C503="$/mwh",D503*100/1000,IF($C503="$/kwh",D503*100,D503))</f>
        <v>1.41</v>
      </c>
      <c r="E236" s="119">
        <f t="shared" si="30"/>
        <v>1.41</v>
      </c>
      <c r="F236" s="119">
        <f t="shared" si="30"/>
        <v>1.476</v>
      </c>
      <c r="G236" s="119">
        <f t="shared" si="30"/>
        <v>1.5128999999999999</v>
      </c>
      <c r="H236" s="119">
        <f t="shared" si="30"/>
        <v>1.5507224999999996</v>
      </c>
    </row>
    <row r="237" spans="1:11" s="35" customFormat="1" x14ac:dyDescent="0.3">
      <c r="A237" s="87" t="s">
        <v>80</v>
      </c>
      <c r="B237" s="104" t="s">
        <v>31</v>
      </c>
      <c r="C237" s="104" t="s">
        <v>17</v>
      </c>
      <c r="D237" s="119">
        <f t="shared" si="30"/>
        <v>6.8489999999999993</v>
      </c>
      <c r="E237" s="119">
        <f t="shared" si="30"/>
        <v>6.766</v>
      </c>
      <c r="F237" s="119">
        <f t="shared" si="30"/>
        <v>6.7075999999999993</v>
      </c>
      <c r="G237" s="119">
        <f>IF($C504="$/mwh",G504*100/1000,IF($C504="$/kwh",G504*100,G504))</f>
        <v>0</v>
      </c>
      <c r="H237" s="119">
        <f t="shared" si="30"/>
        <v>0</v>
      </c>
    </row>
    <row r="238" spans="1:11" s="35" customFormat="1" x14ac:dyDescent="0.3">
      <c r="A238" s="87" t="s">
        <v>107</v>
      </c>
      <c r="B238" s="104" t="s">
        <v>31</v>
      </c>
      <c r="C238" s="104" t="s">
        <v>17</v>
      </c>
      <c r="D238" s="119">
        <f t="shared" si="30"/>
        <v>0.50800000000000001</v>
      </c>
      <c r="E238" s="119">
        <f t="shared" si="30"/>
        <v>0.51500000000000001</v>
      </c>
      <c r="F238" s="119">
        <f t="shared" si="30"/>
        <v>0.64882499999999999</v>
      </c>
      <c r="G238" s="119">
        <f t="shared" si="30"/>
        <v>0</v>
      </c>
      <c r="H238" s="119">
        <f t="shared" si="30"/>
        <v>0</v>
      </c>
      <c r="K238" s="40"/>
    </row>
    <row r="239" spans="1:11" s="35" customFormat="1" x14ac:dyDescent="0.3">
      <c r="A239" s="87" t="s">
        <v>124</v>
      </c>
      <c r="B239" s="104" t="s">
        <v>31</v>
      </c>
      <c r="C239" s="104" t="s">
        <v>17</v>
      </c>
      <c r="D239" s="119">
        <f t="shared" si="30"/>
        <v>8.3000000000000004E-2</v>
      </c>
      <c r="E239" s="119">
        <f t="shared" si="30"/>
        <v>8.3000000000000004E-2</v>
      </c>
      <c r="F239" s="119">
        <f t="shared" si="30"/>
        <v>8.6823649999999988E-2</v>
      </c>
      <c r="G239" s="119">
        <f t="shared" si="30"/>
        <v>0</v>
      </c>
      <c r="H239" s="119">
        <f t="shared" si="30"/>
        <v>0</v>
      </c>
    </row>
    <row r="240" spans="1:11" s="35" customFormat="1" x14ac:dyDescent="0.3">
      <c r="A240" s="87" t="s">
        <v>108</v>
      </c>
      <c r="B240" s="104" t="s">
        <v>31</v>
      </c>
      <c r="C240" s="104" t="s">
        <v>17</v>
      </c>
      <c r="D240" s="119">
        <f t="shared" si="30"/>
        <v>0</v>
      </c>
      <c r="E240" s="119">
        <f t="shared" si="30"/>
        <v>0</v>
      </c>
      <c r="F240" s="119">
        <f t="shared" si="30"/>
        <v>2.0428249999999997</v>
      </c>
      <c r="G240" s="119">
        <f t="shared" si="30"/>
        <v>0</v>
      </c>
      <c r="H240" s="119">
        <f t="shared" si="30"/>
        <v>0</v>
      </c>
    </row>
    <row r="241" spans="1:9" s="35" customFormat="1" x14ac:dyDescent="0.3">
      <c r="A241" s="87" t="s">
        <v>22</v>
      </c>
      <c r="B241" s="104" t="s">
        <v>31</v>
      </c>
      <c r="C241" s="104" t="s">
        <v>17</v>
      </c>
      <c r="D241" s="119">
        <f t="shared" si="30"/>
        <v>0.184</v>
      </c>
      <c r="E241" s="119">
        <f t="shared" si="30"/>
        <v>0.27367499999999995</v>
      </c>
      <c r="F241" s="119">
        <f t="shared" si="30"/>
        <v>0.45407499999999995</v>
      </c>
      <c r="G241" s="119">
        <f t="shared" si="30"/>
        <v>0</v>
      </c>
      <c r="H241" s="119">
        <f t="shared" si="30"/>
        <v>0</v>
      </c>
    </row>
    <row r="242" spans="1:9" s="35" customFormat="1" x14ac:dyDescent="0.3">
      <c r="A242" s="87" t="s">
        <v>75</v>
      </c>
      <c r="B242" s="104" t="s">
        <v>31</v>
      </c>
      <c r="C242" s="104" t="s">
        <v>17</v>
      </c>
      <c r="D242" s="119">
        <f t="shared" si="30"/>
        <v>0</v>
      </c>
      <c r="E242" s="119">
        <f t="shared" si="30"/>
        <v>0.62012499999999993</v>
      </c>
      <c r="F242" s="119">
        <f t="shared" si="30"/>
        <v>0.55042499999999994</v>
      </c>
      <c r="G242" s="119">
        <f t="shared" si="30"/>
        <v>0</v>
      </c>
      <c r="H242" s="119">
        <f t="shared" si="30"/>
        <v>0</v>
      </c>
    </row>
    <row r="243" spans="1:9" s="35" customFormat="1" x14ac:dyDescent="0.3">
      <c r="A243" s="64" t="str">
        <f>Scheme1</f>
        <v>Energy savings</v>
      </c>
      <c r="B243" s="104" t="s">
        <v>31</v>
      </c>
      <c r="C243" s="104" t="s">
        <v>17</v>
      </c>
      <c r="D243" s="119">
        <f t="shared" si="30"/>
        <v>7.1999999999999995E-2</v>
      </c>
      <c r="E243" s="119">
        <f t="shared" si="30"/>
        <v>0.111725</v>
      </c>
      <c r="F243" s="119">
        <f>IF($C510="$/mwh",F510*100/1000,IF($C510="$/kwh",F510*100,F510))</f>
        <v>0.155</v>
      </c>
      <c r="G243" s="119">
        <f t="shared" si="30"/>
        <v>0</v>
      </c>
      <c r="H243" s="119">
        <f t="shared" si="30"/>
        <v>0</v>
      </c>
    </row>
    <row r="244" spans="1:9" s="35" customFormat="1" x14ac:dyDescent="0.3">
      <c r="A244" s="58" t="str">
        <f>Scheme2</f>
        <v>Blank</v>
      </c>
      <c r="B244" s="104" t="s">
        <v>31</v>
      </c>
      <c r="C244" s="104" t="s">
        <v>17</v>
      </c>
      <c r="D244" s="119">
        <f t="shared" si="30"/>
        <v>0</v>
      </c>
      <c r="E244" s="119">
        <f t="shared" si="30"/>
        <v>0</v>
      </c>
      <c r="F244" s="119">
        <f t="shared" si="30"/>
        <v>0</v>
      </c>
      <c r="G244" s="119">
        <f t="shared" si="30"/>
        <v>0</v>
      </c>
      <c r="H244" s="119">
        <f t="shared" si="30"/>
        <v>0</v>
      </c>
    </row>
    <row r="245" spans="1:9" s="35" customFormat="1" x14ac:dyDescent="0.3">
      <c r="A245" s="104"/>
      <c r="B245" s="104"/>
      <c r="C245" s="104"/>
      <c r="D245" s="45"/>
      <c r="E245" s="63"/>
      <c r="F245" s="63"/>
      <c r="G245" s="63"/>
      <c r="H245" s="63"/>
    </row>
    <row r="246" spans="1:9" s="35" customFormat="1" x14ac:dyDescent="0.3">
      <c r="A246" s="54" t="str">
        <f>Dist2</f>
        <v>Essential</v>
      </c>
      <c r="B246" s="104"/>
      <c r="C246" s="104"/>
      <c r="D246" s="104"/>
      <c r="E246" s="104"/>
      <c r="F246" s="104"/>
      <c r="G246" s="104"/>
      <c r="H246" s="104"/>
    </row>
    <row r="247" spans="1:9" s="35" customFormat="1" x14ac:dyDescent="0.3">
      <c r="A247" s="40" t="str">
        <f t="shared" ref="A247:A255" si="31">A236</f>
        <v>Retail operating Cost</v>
      </c>
      <c r="B247" s="104" t="s">
        <v>31</v>
      </c>
      <c r="C247" s="104" t="s">
        <v>17</v>
      </c>
      <c r="D247" s="119">
        <f t="shared" ref="D247:H255" si="32">IF($C514="$/mwh",D514*100/1000,IF($C514="$/kwh",D514*100,D514))</f>
        <v>1.32</v>
      </c>
      <c r="E247" s="119">
        <f t="shared" si="32"/>
        <v>1.43</v>
      </c>
      <c r="F247" s="119">
        <f t="shared" si="32"/>
        <v>1.4964999999999997</v>
      </c>
      <c r="G247" s="119">
        <f t="shared" si="32"/>
        <v>1.5339124999999998</v>
      </c>
      <c r="H247" s="119">
        <f t="shared" si="32"/>
        <v>1.5722603124999996</v>
      </c>
    </row>
    <row r="248" spans="1:9" s="35" customFormat="1" x14ac:dyDescent="0.3">
      <c r="A248" s="40" t="str">
        <f t="shared" si="31"/>
        <v>Generation</v>
      </c>
      <c r="B248" s="104" t="s">
        <v>31</v>
      </c>
      <c r="C248" s="104" t="s">
        <v>17</v>
      </c>
      <c r="D248" s="119">
        <f t="shared" si="32"/>
        <v>6.375</v>
      </c>
      <c r="E248" s="119">
        <f t="shared" si="32"/>
        <v>6.36</v>
      </c>
      <c r="F248" s="119">
        <f t="shared" si="32"/>
        <v>6.3765249999999991</v>
      </c>
      <c r="G248" s="119">
        <f t="shared" si="32"/>
        <v>0</v>
      </c>
      <c r="H248" s="119">
        <f t="shared" si="32"/>
        <v>0</v>
      </c>
    </row>
    <row r="249" spans="1:9" s="35" customFormat="1" x14ac:dyDescent="0.3">
      <c r="A249" s="40" t="str">
        <f t="shared" si="31"/>
        <v xml:space="preserve">Losses </v>
      </c>
      <c r="B249" s="104" t="s">
        <v>31</v>
      </c>
      <c r="C249" s="104" t="s">
        <v>17</v>
      </c>
      <c r="D249" s="119">
        <f t="shared" si="32"/>
        <v>0.80100000000000005</v>
      </c>
      <c r="E249" s="119">
        <f t="shared" si="32"/>
        <v>0.68799999999999983</v>
      </c>
      <c r="F249" s="119">
        <f t="shared" si="32"/>
        <v>0.99527500000000002</v>
      </c>
      <c r="G249" s="119">
        <f t="shared" si="32"/>
        <v>0</v>
      </c>
      <c r="H249" s="119">
        <f t="shared" si="32"/>
        <v>0</v>
      </c>
      <c r="I249" s="65"/>
    </row>
    <row r="250" spans="1:9" s="35" customFormat="1" x14ac:dyDescent="0.3">
      <c r="A250" s="40" t="str">
        <f t="shared" si="31"/>
        <v>Market Fees</v>
      </c>
      <c r="B250" s="104" t="s">
        <v>31</v>
      </c>
      <c r="C250" s="104" t="s">
        <v>17</v>
      </c>
      <c r="D250" s="119">
        <f t="shared" si="32"/>
        <v>8.299999999999999E-2</v>
      </c>
      <c r="E250" s="119">
        <f t="shared" si="32"/>
        <v>8.299999999999999E-2</v>
      </c>
      <c r="F250" s="119">
        <f t="shared" si="32"/>
        <v>8.6823649999999988E-2</v>
      </c>
      <c r="G250" s="119">
        <f t="shared" si="32"/>
        <v>0</v>
      </c>
      <c r="H250" s="119">
        <f t="shared" si="32"/>
        <v>0</v>
      </c>
      <c r="I250" s="65"/>
    </row>
    <row r="251" spans="1:9" s="35" customFormat="1" x14ac:dyDescent="0.3">
      <c r="A251" s="40" t="str">
        <f t="shared" si="31"/>
        <v>Carbon</v>
      </c>
      <c r="B251" s="104" t="s">
        <v>31</v>
      </c>
      <c r="C251" s="104" t="s">
        <v>17</v>
      </c>
      <c r="D251" s="119">
        <f t="shared" si="32"/>
        <v>0</v>
      </c>
      <c r="E251" s="119">
        <f t="shared" si="32"/>
        <v>0</v>
      </c>
      <c r="F251" s="119">
        <f t="shared" si="32"/>
        <v>2.0335999999999999</v>
      </c>
      <c r="G251" s="119">
        <f t="shared" si="32"/>
        <v>0</v>
      </c>
      <c r="H251" s="119">
        <f t="shared" si="32"/>
        <v>0</v>
      </c>
      <c r="I251" s="65"/>
    </row>
    <row r="252" spans="1:9" s="35" customFormat="1" x14ac:dyDescent="0.3">
      <c r="A252" s="40" t="str">
        <f t="shared" si="31"/>
        <v>LRET</v>
      </c>
      <c r="B252" s="104" t="s">
        <v>31</v>
      </c>
      <c r="C252" s="104" t="s">
        <v>17</v>
      </c>
      <c r="D252" s="119">
        <f t="shared" si="32"/>
        <v>0.184</v>
      </c>
      <c r="E252" s="119">
        <f t="shared" si="32"/>
        <v>0.27162499999999995</v>
      </c>
      <c r="F252" s="119">
        <f t="shared" si="32"/>
        <v>0.4551</v>
      </c>
      <c r="G252" s="119">
        <f t="shared" si="32"/>
        <v>0</v>
      </c>
      <c r="H252" s="119">
        <f t="shared" si="32"/>
        <v>0</v>
      </c>
    </row>
    <row r="253" spans="1:9" s="35" customFormat="1" x14ac:dyDescent="0.3">
      <c r="A253" s="40" t="str">
        <f t="shared" si="31"/>
        <v>Small scale renewable energy scheme</v>
      </c>
      <c r="B253" s="104" t="s">
        <v>31</v>
      </c>
      <c r="C253" s="104" t="s">
        <v>17</v>
      </c>
      <c r="D253" s="119">
        <f t="shared" si="32"/>
        <v>0</v>
      </c>
      <c r="E253" s="119">
        <f t="shared" si="32"/>
        <v>0.63037500000000002</v>
      </c>
      <c r="F253" s="119">
        <f t="shared" si="32"/>
        <v>0.57502500000000001</v>
      </c>
      <c r="G253" s="119">
        <f t="shared" si="32"/>
        <v>0</v>
      </c>
      <c r="H253" s="119">
        <f t="shared" si="32"/>
        <v>0</v>
      </c>
    </row>
    <row r="254" spans="1:9" s="35" customFormat="1" x14ac:dyDescent="0.3">
      <c r="A254" s="40" t="str">
        <f t="shared" si="31"/>
        <v>Energy savings</v>
      </c>
      <c r="B254" s="104" t="s">
        <v>31</v>
      </c>
      <c r="C254" s="104" t="s">
        <v>17</v>
      </c>
      <c r="D254" s="119">
        <f t="shared" si="32"/>
        <v>7.1999999999999995E-2</v>
      </c>
      <c r="E254" s="119">
        <f t="shared" si="32"/>
        <v>0.111725</v>
      </c>
      <c r="F254" s="119">
        <f t="shared" si="32"/>
        <v>0.154775</v>
      </c>
      <c r="G254" s="119">
        <f t="shared" si="32"/>
        <v>0</v>
      </c>
      <c r="H254" s="119">
        <f t="shared" si="32"/>
        <v>0</v>
      </c>
    </row>
    <row r="255" spans="1:9" s="35" customFormat="1" x14ac:dyDescent="0.3">
      <c r="A255" s="40" t="str">
        <f t="shared" si="31"/>
        <v>Blank</v>
      </c>
      <c r="B255" s="104" t="s">
        <v>31</v>
      </c>
      <c r="C255" s="104" t="s">
        <v>17</v>
      </c>
      <c r="D255" s="119">
        <f t="shared" si="32"/>
        <v>0</v>
      </c>
      <c r="E255" s="119">
        <f t="shared" si="32"/>
        <v>0</v>
      </c>
      <c r="F255" s="119">
        <f t="shared" si="32"/>
        <v>0</v>
      </c>
      <c r="G255" s="119">
        <f t="shared" si="32"/>
        <v>0</v>
      </c>
      <c r="H255" s="119">
        <f t="shared" si="32"/>
        <v>0</v>
      </c>
    </row>
    <row r="256" spans="1:9" s="35" customFormat="1" x14ac:dyDescent="0.3">
      <c r="A256" s="58"/>
      <c r="B256" s="104"/>
      <c r="C256" s="63"/>
      <c r="D256" s="63"/>
      <c r="E256" s="63"/>
      <c r="F256" s="63"/>
      <c r="G256" s="63"/>
      <c r="H256" s="63"/>
    </row>
    <row r="257" spans="1:9" s="35" customFormat="1" x14ac:dyDescent="0.3">
      <c r="A257" s="54" t="str">
        <f>Dist3</f>
        <v>Endeavour</v>
      </c>
      <c r="B257" s="104"/>
      <c r="C257" s="63"/>
      <c r="D257" s="63"/>
      <c r="E257" s="63"/>
      <c r="F257" s="63"/>
      <c r="G257" s="63"/>
      <c r="H257" s="63"/>
    </row>
    <row r="258" spans="1:9" s="35" customFormat="1" x14ac:dyDescent="0.3">
      <c r="A258" s="40" t="str">
        <f t="shared" ref="A258:A266" si="33">A247</f>
        <v>Retail operating Cost</v>
      </c>
      <c r="B258" s="104" t="s">
        <v>31</v>
      </c>
      <c r="C258" s="104" t="s">
        <v>17</v>
      </c>
      <c r="D258" s="119">
        <f t="shared" ref="D258:H266" si="34">IF($C525="$/mwh",D525*100/1000,IF($C525="$/kwh",D525*100,D525))</f>
        <v>1.1400000000000001</v>
      </c>
      <c r="E258" s="119">
        <f t="shared" si="34"/>
        <v>1.32</v>
      </c>
      <c r="F258" s="119">
        <f t="shared" si="34"/>
        <v>1.3837499999999998</v>
      </c>
      <c r="G258" s="119">
        <f t="shared" si="34"/>
        <v>1.4183437499999996</v>
      </c>
      <c r="H258" s="119">
        <f t="shared" si="34"/>
        <v>1.4538023437499994</v>
      </c>
    </row>
    <row r="259" spans="1:9" s="35" customFormat="1" x14ac:dyDescent="0.3">
      <c r="A259" s="40" t="str">
        <f t="shared" si="33"/>
        <v>Generation</v>
      </c>
      <c r="B259" s="104" t="s">
        <v>31</v>
      </c>
      <c r="C259" s="104" t="s">
        <v>17</v>
      </c>
      <c r="D259" s="119">
        <f t="shared" si="34"/>
        <v>7.069</v>
      </c>
      <c r="E259" s="119">
        <f t="shared" si="34"/>
        <v>7.0979999999999999</v>
      </c>
      <c r="F259" s="119">
        <f t="shared" si="34"/>
        <v>7.1104249999999993</v>
      </c>
      <c r="G259" s="119">
        <f t="shared" si="34"/>
        <v>0</v>
      </c>
      <c r="H259" s="119">
        <f t="shared" si="34"/>
        <v>0</v>
      </c>
    </row>
    <row r="260" spans="1:9" s="35" customFormat="1" x14ac:dyDescent="0.3">
      <c r="A260" s="40" t="str">
        <f t="shared" si="33"/>
        <v xml:space="preserve">Losses </v>
      </c>
      <c r="B260" s="104" t="s">
        <v>31</v>
      </c>
      <c r="C260" s="104" t="s">
        <v>17</v>
      </c>
      <c r="D260" s="119">
        <f t="shared" si="34"/>
        <v>0.63900000000000001</v>
      </c>
      <c r="E260" s="119">
        <f t="shared" si="34"/>
        <v>0.65200000000000002</v>
      </c>
      <c r="F260" s="119">
        <f t="shared" si="34"/>
        <v>0.78617499999999985</v>
      </c>
      <c r="G260" s="119">
        <f t="shared" si="34"/>
        <v>0</v>
      </c>
      <c r="H260" s="119">
        <f t="shared" si="34"/>
        <v>0</v>
      </c>
    </row>
    <row r="261" spans="1:9" s="35" customFormat="1" x14ac:dyDescent="0.3">
      <c r="A261" s="40" t="str">
        <f t="shared" si="33"/>
        <v>Market Fees</v>
      </c>
      <c r="B261" s="104" t="s">
        <v>31</v>
      </c>
      <c r="C261" s="104" t="s">
        <v>17</v>
      </c>
      <c r="D261" s="119">
        <f t="shared" si="34"/>
        <v>8.299999999999999E-2</v>
      </c>
      <c r="E261" s="119">
        <f t="shared" si="34"/>
        <v>8.299999999999999E-2</v>
      </c>
      <c r="F261" s="119">
        <f t="shared" si="34"/>
        <v>8.6999999999999994E-2</v>
      </c>
      <c r="G261" s="119">
        <f t="shared" si="34"/>
        <v>0</v>
      </c>
      <c r="H261" s="119">
        <f t="shared" si="34"/>
        <v>0</v>
      </c>
    </row>
    <row r="262" spans="1:9" s="35" customFormat="1" x14ac:dyDescent="0.3">
      <c r="A262" s="40" t="str">
        <f t="shared" si="33"/>
        <v>Carbon</v>
      </c>
      <c r="B262" s="104" t="s">
        <v>31</v>
      </c>
      <c r="C262" s="104" t="s">
        <v>17</v>
      </c>
      <c r="D262" s="119">
        <f t="shared" si="34"/>
        <v>0</v>
      </c>
      <c r="E262" s="119">
        <f t="shared" si="34"/>
        <v>0</v>
      </c>
      <c r="F262" s="119">
        <f t="shared" si="34"/>
        <v>2.0139999999999998</v>
      </c>
      <c r="G262" s="119">
        <f t="shared" si="34"/>
        <v>0</v>
      </c>
      <c r="H262" s="119">
        <f t="shared" si="34"/>
        <v>0</v>
      </c>
    </row>
    <row r="263" spans="1:9" s="35" customFormat="1" x14ac:dyDescent="0.3">
      <c r="A263" s="40" t="str">
        <f t="shared" si="33"/>
        <v>LRET</v>
      </c>
      <c r="B263" s="104" t="s">
        <v>31</v>
      </c>
      <c r="C263" s="104" t="s">
        <v>17</v>
      </c>
      <c r="D263" s="119">
        <f t="shared" si="34"/>
        <v>0.184</v>
      </c>
      <c r="E263" s="119">
        <f t="shared" si="34"/>
        <v>0.27060000000000001</v>
      </c>
      <c r="F263" s="119">
        <f t="shared" si="34"/>
        <v>0.45700000000000002</v>
      </c>
      <c r="G263" s="119">
        <f t="shared" si="34"/>
        <v>0</v>
      </c>
      <c r="H263" s="119">
        <f t="shared" si="34"/>
        <v>0</v>
      </c>
    </row>
    <row r="264" spans="1:9" s="35" customFormat="1" x14ac:dyDescent="0.3">
      <c r="A264" s="40" t="str">
        <f t="shared" si="33"/>
        <v>Small scale renewable energy scheme</v>
      </c>
      <c r="B264" s="104" t="s">
        <v>31</v>
      </c>
      <c r="C264" s="104" t="s">
        <v>17</v>
      </c>
      <c r="D264" s="119">
        <f t="shared" si="34"/>
        <v>0</v>
      </c>
      <c r="E264" s="119">
        <f t="shared" si="34"/>
        <v>0.62319999999999998</v>
      </c>
      <c r="F264" s="119">
        <f t="shared" si="34"/>
        <v>0.56599999999999995</v>
      </c>
      <c r="G264" s="119">
        <f t="shared" si="34"/>
        <v>0</v>
      </c>
      <c r="H264" s="119">
        <f t="shared" si="34"/>
        <v>0</v>
      </c>
    </row>
    <row r="265" spans="1:9" s="35" customFormat="1" x14ac:dyDescent="0.3">
      <c r="A265" s="40" t="str">
        <f t="shared" si="33"/>
        <v>Energy savings</v>
      </c>
      <c r="B265" s="104" t="s">
        <v>31</v>
      </c>
      <c r="C265" s="104" t="s">
        <v>17</v>
      </c>
      <c r="D265" s="119">
        <f t="shared" si="34"/>
        <v>7.1999999999999995E-2</v>
      </c>
      <c r="E265" s="119">
        <f t="shared" si="34"/>
        <v>0.111725</v>
      </c>
      <c r="F265" s="119">
        <f t="shared" si="34"/>
        <v>0.155</v>
      </c>
      <c r="G265" s="119">
        <f t="shared" si="34"/>
        <v>0</v>
      </c>
      <c r="H265" s="119">
        <f t="shared" si="34"/>
        <v>0</v>
      </c>
    </row>
    <row r="266" spans="1:9" s="35" customFormat="1" x14ac:dyDescent="0.3">
      <c r="A266" s="40" t="str">
        <f t="shared" si="33"/>
        <v>Blank</v>
      </c>
      <c r="B266" s="104" t="s">
        <v>31</v>
      </c>
      <c r="C266" s="104" t="s">
        <v>17</v>
      </c>
      <c r="D266" s="119">
        <f t="shared" si="34"/>
        <v>0</v>
      </c>
      <c r="E266" s="119">
        <f t="shared" si="34"/>
        <v>0</v>
      </c>
      <c r="F266" s="119">
        <f t="shared" si="34"/>
        <v>0</v>
      </c>
      <c r="G266" s="119">
        <f t="shared" si="34"/>
        <v>0</v>
      </c>
      <c r="H266" s="119">
        <f t="shared" si="34"/>
        <v>0</v>
      </c>
    </row>
    <row r="267" spans="1:9" s="104" customFormat="1" x14ac:dyDescent="0.3">
      <c r="B267" s="112"/>
      <c r="C267" s="112"/>
      <c r="D267" s="112"/>
      <c r="E267" s="112"/>
      <c r="F267" s="112"/>
      <c r="G267" s="112"/>
      <c r="H267" s="112"/>
    </row>
    <row r="268" spans="1:9" s="104" customFormat="1" x14ac:dyDescent="0.3">
      <c r="A268" s="21" t="s">
        <v>128</v>
      </c>
      <c r="B268" s="112"/>
      <c r="C268" s="112"/>
      <c r="D268" s="112"/>
      <c r="E268" s="112"/>
      <c r="F268" s="112"/>
      <c r="G268" s="112"/>
      <c r="H268" s="112"/>
    </row>
    <row r="269" spans="1:9" s="104" customFormat="1" x14ac:dyDescent="0.3">
      <c r="A269" s="21"/>
      <c r="B269" s="112"/>
      <c r="C269" s="112"/>
      <c r="D269" s="112"/>
      <c r="E269" s="112"/>
      <c r="F269" s="112"/>
      <c r="G269" s="112"/>
      <c r="H269" s="112"/>
    </row>
    <row r="270" spans="1:9" s="104" customFormat="1" x14ac:dyDescent="0.3">
      <c r="A270" s="21" t="s">
        <v>80</v>
      </c>
      <c r="B270" s="112"/>
      <c r="C270" s="112"/>
      <c r="D270" s="112"/>
      <c r="E270" s="112"/>
      <c r="F270" s="112"/>
      <c r="G270" s="121"/>
      <c r="H270" s="112"/>
    </row>
    <row r="271" spans="1:9" s="104" customFormat="1" x14ac:dyDescent="0.3">
      <c r="A271" s="112" t="s">
        <v>124</v>
      </c>
      <c r="B271" s="112" t="s">
        <v>43</v>
      </c>
      <c r="C271" s="104" t="s">
        <v>17</v>
      </c>
      <c r="D271" s="112"/>
      <c r="E271" s="112"/>
      <c r="F271" s="112"/>
      <c r="G271" s="110">
        <f>IF(F239&gt;0, IF('Input Global'!$B$60="frontier number",'Input Frontier'!G8,IF('Input Global'!$B$60="CPI",$F$239*(1+inflation),$F$239*('Input Frontier'!G8/'Input Frontier'!F8))),0)</f>
        <v>8.8796914772727262E-2</v>
      </c>
      <c r="H271" s="110">
        <f>IF(F239&gt;0, IF('Input Global'!$B$60="frontier number",'Input Frontier'!H8,IF('Input Global'!$B$60="CPI",$F$239*(1+inflation)^2,$F$239*('Input Frontier'!H8/'Input Frontier'!G8))),0)</f>
        <v>8.8431495370370372E-2</v>
      </c>
      <c r="I271" s="42"/>
    </row>
    <row r="272" spans="1:9" s="104" customFormat="1" x14ac:dyDescent="0.3">
      <c r="F272" s="52"/>
    </row>
    <row r="273" spans="1:8" s="104" customFormat="1" x14ac:dyDescent="0.3">
      <c r="A273" s="113" t="str">
        <f>Dist1&amp;" region"</f>
        <v>Ausgrid  region</v>
      </c>
      <c r="B273" s="112"/>
      <c r="D273" s="112"/>
      <c r="E273" s="112"/>
      <c r="F273" s="114"/>
      <c r="G273" s="112"/>
      <c r="H273" s="112"/>
    </row>
    <row r="274" spans="1:8" s="104" customFormat="1" x14ac:dyDescent="0.3">
      <c r="A274" s="104" t="str">
        <f ca="1">'Calc (Jurisdiction)'!$B$2</f>
        <v>Calc (Jurisdiction)</v>
      </c>
      <c r="B274" s="147" t="s">
        <v>43</v>
      </c>
      <c r="C274" s="104" t="s">
        <v>17</v>
      </c>
      <c r="D274" s="112"/>
      <c r="E274" s="112"/>
      <c r="F274" s="114"/>
      <c r="G274" s="167">
        <f>G275</f>
        <v>6.8811200514200763</v>
      </c>
      <c r="H274" s="167">
        <f>H275</f>
        <v>7.0084168508583593</v>
      </c>
    </row>
    <row r="275" spans="1:8" s="104" customFormat="1" x14ac:dyDescent="0.3">
      <c r="A275" s="104" t="str">
        <f ca="1">'Calc (LRMC Planning case)'!$B$2</f>
        <v>Calc (LRMC Planning case)</v>
      </c>
      <c r="B275" s="112" t="s">
        <v>43</v>
      </c>
      <c r="C275" s="104" t="s">
        <v>17</v>
      </c>
      <c r="D275" s="112"/>
      <c r="E275" s="112"/>
      <c r="F275" s="112"/>
      <c r="G275" s="110">
        <f>IF('Input Global'!$B$60="frontier number",'Input Frontier'!G12,IF('Input Global'!$B$60="CPI",$F$237*(1+inflation),$F$237*('Input Frontier'!G12/'Input Frontier'!F12)))</f>
        <v>6.8811200514200763</v>
      </c>
      <c r="H275" s="110">
        <f>IF('Input Global'!$B$60="frontier number",'Input Frontier'!H12,IF('Input Global'!$B$60="CPI",$F$237*(1+inflation)^2,G275*('Input Frontier'!H12/'Input Frontier'!G12)))</f>
        <v>7.0084168508583593</v>
      </c>
    </row>
    <row r="276" spans="1:8" s="104" customFormat="1" x14ac:dyDescent="0.3">
      <c r="A276" s="104" t="str">
        <f ca="1">'Calc (LRMC Slow Rate)'!$B$2</f>
        <v>Calc (LRMC Slow Rate)</v>
      </c>
      <c r="B276" s="112" t="s">
        <v>43</v>
      </c>
      <c r="C276" s="104" t="s">
        <v>17</v>
      </c>
      <c r="D276" s="112"/>
      <c r="E276" s="112"/>
      <c r="F276" s="112"/>
      <c r="G276" s="110">
        <f>IF('Input Global'!$B$60="frontier number",'Input Frontier'!G13,IF('Input Global'!$B$60="CPI",$F$237*(1+inflation),$F$237*('Input Frontier'!G13/'Input Frontier'!F13)))</f>
        <v>6.9879815596731731</v>
      </c>
      <c r="H276" s="110">
        <f>IF('Input Global'!$B$60="frontier number",'Input Frontier'!H13,IF('Input Global'!$B$60="CPI",$F$237*(1+inflation)^2,G276*('Input Frontier'!H13/'Input Frontier'!G13)))</f>
        <v>7.0578306990953692</v>
      </c>
    </row>
    <row r="277" spans="1:8" s="104" customFormat="1" x14ac:dyDescent="0.3">
      <c r="A277" s="104" t="str">
        <f ca="1">'Calc (Market Planning Case)'!$B$2</f>
        <v>Calc (Market Planning Case)</v>
      </c>
      <c r="B277" s="112" t="s">
        <v>43</v>
      </c>
      <c r="C277" s="104" t="s">
        <v>17</v>
      </c>
      <c r="D277" s="112"/>
      <c r="E277" s="112"/>
      <c r="F277" s="112"/>
      <c r="G277" s="110">
        <f>IF('Input Global'!$B$60="frontier number",'Input Frontier'!G14,IF('Input Global'!$B$60="CPI",$F$237*(1+inflation),$F$237*('Input Frontier'!G14/'Input Frontier'!F14)))</f>
        <v>6.5719465982743905</v>
      </c>
      <c r="H277" s="110">
        <f>IF('Input Global'!$B$60="frontier number",'Input Frontier'!H14,IF('Input Global'!$B$60="CPI",$F$237*(1+inflation)^2,G277*('Input Frontier'!H14/'Input Frontier'!G14)))</f>
        <v>6.8329962440268179</v>
      </c>
    </row>
    <row r="278" spans="1:8" s="104" customFormat="1" x14ac:dyDescent="0.3">
      <c r="A278" s="104" t="str">
        <f ca="1">'Calc (Market Slow Rate)'!$B$2</f>
        <v>Calc (Market Slow Rate)</v>
      </c>
      <c r="B278" s="112" t="s">
        <v>43</v>
      </c>
      <c r="C278" s="104" t="s">
        <v>17</v>
      </c>
      <c r="D278" s="112"/>
      <c r="E278" s="112"/>
      <c r="F278" s="112"/>
      <c r="G278" s="110">
        <f>IF('Input Global'!$B$60="frontier number",'Input Frontier'!G15,IF('Input Global'!$B$60="CPI",$F$237*(1+inflation),$F$237*('Input Frontier'!G15/'Input Frontier'!F15)))</f>
        <v>7.0128124940504364</v>
      </c>
      <c r="H278" s="110">
        <f>IF('Input Global'!$B$60="frontier number",'Input Frontier'!H15,IF('Input Global'!$B$60="CPI",$F$237*(1+inflation)^2,G278*('Input Frontier'!H15/'Input Frontier'!G15)))</f>
        <v>6.7811828204070954</v>
      </c>
    </row>
    <row r="279" spans="1:8" s="104" customFormat="1" x14ac:dyDescent="0.3">
      <c r="A279" s="112"/>
      <c r="F279" s="115"/>
      <c r="G279" s="116"/>
      <c r="H279" s="116"/>
    </row>
    <row r="280" spans="1:8" s="104" customFormat="1" x14ac:dyDescent="0.3">
      <c r="A280" s="54" t="str">
        <f>Dist2</f>
        <v>Essential</v>
      </c>
      <c r="F280" s="115"/>
    </row>
    <row r="281" spans="1:8" s="104" customFormat="1" x14ac:dyDescent="0.3">
      <c r="A281" s="104" t="str">
        <f ca="1">'Calc (Jurisdiction)'!$B$2</f>
        <v>Calc (Jurisdiction)</v>
      </c>
      <c r="B281" s="147" t="s">
        <v>43</v>
      </c>
      <c r="C281" s="104" t="s">
        <v>17</v>
      </c>
      <c r="F281" s="115"/>
      <c r="G281" s="167">
        <f>G282</f>
        <v>6.544717519926599</v>
      </c>
      <c r="H281" s="167">
        <f>H282</f>
        <v>6.6663766894619574</v>
      </c>
    </row>
    <row r="282" spans="1:8" s="104" customFormat="1" x14ac:dyDescent="0.3">
      <c r="A282" s="104" t="str">
        <f ca="1">'Calc (LRMC Planning case)'!$B$2</f>
        <v>Calc (LRMC Planning case)</v>
      </c>
      <c r="B282" s="112" t="s">
        <v>43</v>
      </c>
      <c r="C282" s="104" t="s">
        <v>17</v>
      </c>
      <c r="D282" s="112"/>
      <c r="E282" s="112"/>
      <c r="F282" s="115"/>
      <c r="G282" s="110">
        <f>IF('Input Global'!$B$60="frontier number",'Input Frontier'!G18,IF('Input Global'!$B$60="CPI",$F$248*(1+inflation),$F$248*('Input Frontier'!G18/'Input Frontier'!F18)))</f>
        <v>6.544717519926599</v>
      </c>
      <c r="H282" s="110">
        <f>IF('Input Global'!$B$60="frontier number",'Input Frontier'!H18,IF('Input Global'!$B$60="CPI",$F$248*(1+inflation)^2,G282*('Input Frontier'!H18/'Input Frontier'!G18)))</f>
        <v>6.6663766894619574</v>
      </c>
    </row>
    <row r="283" spans="1:8" s="104" customFormat="1" x14ac:dyDescent="0.3">
      <c r="A283" s="104" t="str">
        <f ca="1">'Calc (LRMC Slow Rate)'!$B$2</f>
        <v>Calc (LRMC Slow Rate)</v>
      </c>
      <c r="B283" s="112" t="s">
        <v>43</v>
      </c>
      <c r="C283" s="104" t="s">
        <v>17</v>
      </c>
      <c r="D283" s="112"/>
      <c r="E283" s="112"/>
      <c r="F283" s="115"/>
      <c r="G283" s="110">
        <f>IF('Input Global'!$B$60="frontier number",'Input Frontier'!G19,IF('Input Global'!$B$60="CPI",$F$248*(1+inflation),$F$248*('Input Frontier'!G19/'Input Frontier'!F19)))</f>
        <v>6.645392824207776</v>
      </c>
      <c r="H283" s="110">
        <f>IF('Input Global'!$B$60="frontier number",'Input Frontier'!H19,IF('Input Global'!$B$60="CPI",$F$248*(1+inflation)^2,G283*('Input Frontier'!H19/'Input Frontier'!G19)))</f>
        <v>7.0452811552557693</v>
      </c>
    </row>
    <row r="284" spans="1:8" s="104" customFormat="1" ht="16.5" customHeight="1" x14ac:dyDescent="0.3">
      <c r="A284" s="104" t="str">
        <f ca="1">'Calc (Market Planning Case)'!$B$2</f>
        <v>Calc (Market Planning Case)</v>
      </c>
      <c r="B284" s="112" t="s">
        <v>43</v>
      </c>
      <c r="C284" s="104" t="s">
        <v>17</v>
      </c>
      <c r="D284" s="112"/>
      <c r="E284" s="112"/>
      <c r="F284" s="115"/>
      <c r="G284" s="110">
        <f>IF('Input Global'!$B$60="frontier number",'Input Frontier'!G20,IF('Input Global'!$B$60="CPI",$F$248*(1+inflation),$F$248*('Input Frontier'!G20/'Input Frontier'!F20)))</f>
        <v>6.2252607526800681</v>
      </c>
      <c r="H284" s="110">
        <f>IF('Input Global'!$B$60="frontier number",'Input Frontier'!H20,IF('Input Global'!$B$60="CPI",$F$248*(1+inflation)^2,G284*('Input Frontier'!H20/'Input Frontier'!G20)))</f>
        <v>6.4749089381495226</v>
      </c>
    </row>
    <row r="285" spans="1:8" s="104" customFormat="1" x14ac:dyDescent="0.3">
      <c r="A285" s="104" t="str">
        <f ca="1">'Calc (Market Slow Rate)'!$B$2</f>
        <v>Calc (Market Slow Rate)</v>
      </c>
      <c r="B285" s="112" t="s">
        <v>43</v>
      </c>
      <c r="C285" s="104" t="s">
        <v>17</v>
      </c>
      <c r="D285" s="112"/>
      <c r="E285" s="112"/>
      <c r="F285" s="115"/>
      <c r="G285" s="110">
        <f>IF('Input Global'!$B$60="frontier number",'Input Frontier'!G21,IF('Input Global'!$B$60="CPI",$F$248*(1+inflation),$F$248*('Input Frontier'!G21/'Input Frontier'!F21)))</f>
        <v>6.4854622978839522</v>
      </c>
      <c r="H285" s="110">
        <f>IF('Input Global'!$B$60="frontier number",'Input Frontier'!H21,IF('Input Global'!$B$60="CPI",$F$248*(1+inflation)^2,G285*('Input Frontier'!H21/'Input Frontier'!G21)))</f>
        <v>6.4181245951803962</v>
      </c>
    </row>
    <row r="286" spans="1:8" s="104" customFormat="1" x14ac:dyDescent="0.3">
      <c r="A286" s="117"/>
      <c r="B286" s="112"/>
      <c r="C286" s="112"/>
      <c r="D286" s="112"/>
      <c r="F286" s="52"/>
    </row>
    <row r="287" spans="1:8" s="104" customFormat="1" x14ac:dyDescent="0.3">
      <c r="A287" s="113" t="str">
        <f>Dist3</f>
        <v>Endeavour</v>
      </c>
      <c r="B287" s="112"/>
      <c r="C287" s="112"/>
      <c r="D287" s="112"/>
      <c r="E287" s="112"/>
      <c r="F287" s="52"/>
      <c r="G287" s="112"/>
      <c r="H287" s="112"/>
    </row>
    <row r="288" spans="1:8" s="104" customFormat="1" x14ac:dyDescent="0.3">
      <c r="A288" s="104" t="str">
        <f ca="1">'Calc (Jurisdiction)'!$B$2</f>
        <v>Calc (Jurisdiction)</v>
      </c>
      <c r="B288" s="147" t="s">
        <v>43</v>
      </c>
      <c r="C288" s="104" t="s">
        <v>17</v>
      </c>
      <c r="D288" s="112"/>
      <c r="E288" s="112"/>
      <c r="F288" s="52"/>
      <c r="G288" s="167">
        <f>G289</f>
        <v>7.295619507670966</v>
      </c>
      <c r="H288" s="167">
        <f>H289</f>
        <v>7.4317433744070529</v>
      </c>
    </row>
    <row r="289" spans="1:8" s="104" customFormat="1" x14ac:dyDescent="0.3">
      <c r="A289" s="104" t="str">
        <f ca="1">'Calc (LRMC Planning case)'!$B$2</f>
        <v>Calc (LRMC Planning case)</v>
      </c>
      <c r="B289" s="112" t="s">
        <v>43</v>
      </c>
      <c r="C289" s="104" t="s">
        <v>17</v>
      </c>
      <c r="D289" s="112"/>
      <c r="E289" s="112"/>
      <c r="F289" s="52"/>
      <c r="G289" s="110">
        <f>IF('Input Global'!$B$60="frontier number",'Input Frontier'!G24,IF('Input Global'!$B$60="CPI",$F$259*(1+inflation),$F$259*('Input Frontier'!G24/'Input Frontier'!F24)))</f>
        <v>7.295619507670966</v>
      </c>
      <c r="H289" s="110">
        <f>IF('Input Global'!$B$60="frontier number",'Input Frontier'!H24,IF('Input Global'!$B$60="CPI",$F$259*(1+inflation)^2,G289*('Input Frontier'!H24/'Input Frontier'!G24)))</f>
        <v>7.4317433744070529</v>
      </c>
    </row>
    <row r="290" spans="1:8" s="104" customFormat="1" x14ac:dyDescent="0.3">
      <c r="A290" s="104" t="str">
        <f ca="1">'Calc (LRMC Slow Rate)'!$B$2</f>
        <v>Calc (LRMC Slow Rate)</v>
      </c>
      <c r="B290" s="112" t="s">
        <v>43</v>
      </c>
      <c r="C290" s="104" t="s">
        <v>17</v>
      </c>
      <c r="D290" s="112"/>
      <c r="E290" s="112"/>
      <c r="F290" s="52"/>
      <c r="G290" s="110">
        <f>IF('Input Global'!$B$60="frontier number",'Input Frontier'!G25,IF('Input Global'!$B$60="CPI",$F$259*(1+inflation),$F$259*('Input Frontier'!G25/'Input Frontier'!F25)))</f>
        <v>7.4055640035433221</v>
      </c>
      <c r="H290" s="110">
        <f>IF('Input Global'!$B$60="frontier number",'Input Frontier'!H25,IF('Input Global'!$B$60="CPI",$F$259*(1+inflation)^2,G290*('Input Frontier'!H25/'Input Frontier'!G25)))</f>
        <v>7.4811965873883155</v>
      </c>
    </row>
    <row r="291" spans="1:8" s="104" customFormat="1" x14ac:dyDescent="0.3">
      <c r="A291" s="104" t="str">
        <f ca="1">'Calc (Market Planning Case)'!$B$2</f>
        <v>Calc (Market Planning Case)</v>
      </c>
      <c r="B291" s="112" t="s">
        <v>43</v>
      </c>
      <c r="C291" s="104" t="s">
        <v>17</v>
      </c>
      <c r="D291" s="112"/>
      <c r="E291" s="112"/>
      <c r="F291" s="52"/>
      <c r="G291" s="110">
        <f>IF('Input Global'!$B$60="frontier number",'Input Frontier'!G26,IF('Input Global'!$B$60="CPI",$F$259*(1+inflation),$F$259*('Input Frontier'!G26/'Input Frontier'!F26)))</f>
        <v>6.9390363568414752</v>
      </c>
      <c r="H291" s="110">
        <f>IF('Input Global'!$B$60="frontier number",'Input Frontier'!H26,IF('Input Global'!$B$60="CPI",$F$259*(1+inflation)^2,G291*('Input Frontier'!H26/'Input Frontier'!G26)))</f>
        <v>7.2225885076435112</v>
      </c>
    </row>
    <row r="292" spans="1:8" s="104" customFormat="1" x14ac:dyDescent="0.3">
      <c r="A292" s="104" t="str">
        <f ca="1">'Calc (Market Slow Rate)'!$B$2</f>
        <v>Calc (Market Slow Rate)</v>
      </c>
      <c r="B292" s="112" t="s">
        <v>43</v>
      </c>
      <c r="C292" s="104" t="s">
        <v>17</v>
      </c>
      <c r="D292" s="112"/>
      <c r="E292" s="112"/>
      <c r="F292" s="52"/>
      <c r="G292" s="110">
        <f>IF('Input Global'!$B$60="frontier number",'Input Frontier'!G27,IF('Input Global'!$B$60="CPI",$F$259*(1+inflation),$F$259*('Input Frontier'!G27/'Input Frontier'!F27)))</f>
        <v>7.2193533726736421</v>
      </c>
      <c r="H292" s="110">
        <f>IF('Input Global'!$B$60="frontier number",'Input Frontier'!H27,IF('Input Global'!$B$60="CPI",$F$259*(1+inflation)^2,G292*('Input Frontier'!H27/'Input Frontier'!G27)))</f>
        <v>7.1511265752647768</v>
      </c>
    </row>
    <row r="293" spans="1:8" s="104" customFormat="1" x14ac:dyDescent="0.3">
      <c r="A293" s="112"/>
      <c r="B293" s="112"/>
      <c r="C293" s="112"/>
      <c r="D293" s="112"/>
      <c r="E293" s="112"/>
      <c r="F293" s="112"/>
      <c r="G293" s="112"/>
      <c r="H293" s="112"/>
    </row>
    <row r="294" spans="1:8" s="104" customFormat="1" x14ac:dyDescent="0.3">
      <c r="A294" s="109" t="s">
        <v>99</v>
      </c>
      <c r="B294" s="112"/>
      <c r="C294" s="112"/>
      <c r="D294" s="112"/>
      <c r="E294" s="112"/>
      <c r="F294" s="52"/>
      <c r="G294" s="116"/>
      <c r="H294" s="116"/>
    </row>
    <row r="295" spans="1:8" s="104" customFormat="1" x14ac:dyDescent="0.3">
      <c r="A295" s="113" t="str">
        <f>Dist1</f>
        <v xml:space="preserve">Ausgrid </v>
      </c>
      <c r="B295" s="112"/>
      <c r="C295" s="112"/>
      <c r="D295" s="112"/>
      <c r="E295" s="112"/>
      <c r="F295" s="114"/>
      <c r="G295" s="112"/>
      <c r="H295" s="112"/>
    </row>
    <row r="296" spans="1:8" s="104" customFormat="1" x14ac:dyDescent="0.3">
      <c r="A296" s="104" t="str">
        <f ca="1">'Calc (Jurisdiction)'!$B$2</f>
        <v>Calc (Jurisdiction)</v>
      </c>
      <c r="B296" s="147" t="s">
        <v>43</v>
      </c>
      <c r="C296" s="104" t="s">
        <v>17</v>
      </c>
      <c r="D296" s="112"/>
      <c r="E296" s="112"/>
      <c r="F296" s="114"/>
      <c r="G296" s="167">
        <f>G297</f>
        <v>2.1433752084577535</v>
      </c>
      <c r="H296" s="167">
        <f>H297</f>
        <v>2.2529781822229795</v>
      </c>
    </row>
    <row r="297" spans="1:8" s="104" customFormat="1" x14ac:dyDescent="0.3">
      <c r="A297" s="104" t="str">
        <f ca="1">'Calc (LRMC Planning case)'!$B$2</f>
        <v>Calc (LRMC Planning case)</v>
      </c>
      <c r="B297" s="112" t="s">
        <v>43</v>
      </c>
      <c r="C297" s="104" t="s">
        <v>17</v>
      </c>
      <c r="D297" s="112"/>
      <c r="E297" s="112"/>
      <c r="F297" s="114"/>
      <c r="G297" s="110">
        <f>IF('Input Global'!$B$60="frontier number",'Input Frontier'!G32,IF('Input Global'!$B$60="CPI",$F$240*(1+inflation),$F$240*('Input Frontier'!G32/'Input Frontier'!F32)))</f>
        <v>2.1433752084577535</v>
      </c>
      <c r="H297" s="110">
        <f>IF('Input Global'!$B$60="frontier number",'Input Frontier'!H32,IF('Input Global'!$B$60="CPI",$F$240*(1+inflation)^2,G297*('Input Frontier'!H32/'Input Frontier'!G32)))</f>
        <v>2.2529781822229795</v>
      </c>
    </row>
    <row r="298" spans="1:8" s="104" customFormat="1" x14ac:dyDescent="0.3">
      <c r="A298" s="104" t="str">
        <f ca="1">'Calc (LRMC Slow Rate)'!$B$2</f>
        <v>Calc (LRMC Slow Rate)</v>
      </c>
      <c r="B298" s="112" t="s">
        <v>43</v>
      </c>
      <c r="C298" s="104" t="s">
        <v>17</v>
      </c>
      <c r="D298" s="112"/>
      <c r="E298" s="112"/>
      <c r="F298" s="114"/>
      <c r="G298" s="110">
        <f>IF('Input Global'!$B$60="frontier number",'Input Frontier'!G33,IF('Input Global'!$B$60="CPI",$F$240*(1+inflation),$F$240*('Input Frontier'!G33/'Input Frontier'!F33)))</f>
        <v>2.1491536105016715</v>
      </c>
      <c r="H298" s="110">
        <f>IF('Input Global'!$B$60="frontier number",'Input Frontier'!H33,IF('Input Global'!$B$60="CPI",$F$240*(1+inflation)^2,G298*('Input Frontier'!H33/'Input Frontier'!G33)))</f>
        <v>2.2584319543253688</v>
      </c>
    </row>
    <row r="299" spans="1:8" s="104" customFormat="1" x14ac:dyDescent="0.3">
      <c r="A299" s="104" t="str">
        <f ca="1">'Calc (Market Planning Case)'!$B$2</f>
        <v>Calc (Market Planning Case)</v>
      </c>
      <c r="B299" s="112" t="s">
        <v>43</v>
      </c>
      <c r="C299" s="104" t="s">
        <v>17</v>
      </c>
      <c r="D299" s="112"/>
      <c r="E299" s="112"/>
      <c r="F299" s="114"/>
      <c r="G299" s="110">
        <f>IF('Input Global'!$B$60="frontier number",'Input Frontier'!G34,IF('Input Global'!$B$60="CPI",$F$240*(1+inflation),$F$240*('Input Frontier'!G34/'Input Frontier'!F34)))</f>
        <v>2.2859236454345511</v>
      </c>
      <c r="H299" s="110">
        <f>IF('Input Global'!$B$60="frontier number",'Input Frontier'!H34,IF('Input Global'!$B$60="CPI",$F$240*(1+inflation)^2,G299*('Input Frontier'!H34/'Input Frontier'!G34)))</f>
        <v>2.1945729667382818</v>
      </c>
    </row>
    <row r="300" spans="1:8" s="104" customFormat="1" x14ac:dyDescent="0.3">
      <c r="A300" s="104" t="str">
        <f ca="1">'Calc (Market Slow Rate)'!$B$2</f>
        <v>Calc (Market Slow Rate)</v>
      </c>
      <c r="B300" s="112" t="s">
        <v>43</v>
      </c>
      <c r="C300" s="104" t="s">
        <v>17</v>
      </c>
      <c r="D300" s="112"/>
      <c r="E300" s="112"/>
      <c r="F300" s="114"/>
      <c r="G300" s="110">
        <f>IF('Input Global'!$B$60="frontier number",'Input Frontier'!G35,IF('Input Global'!$B$60="CPI",$F$240*(1+inflation),$F$240*('Input Frontier'!G35/'Input Frontier'!F35)))</f>
        <v>2.3935609856277189</v>
      </c>
      <c r="H300" s="110">
        <f>IF('Input Global'!$B$60="frontier number",'Input Frontier'!H35,IF('Input Global'!$B$60="CPI",$F$240*(1+inflation)^2,G300*('Input Frontier'!H35/'Input Frontier'!G35)))</f>
        <v>2.2574568954744443</v>
      </c>
    </row>
    <row r="301" spans="1:8" s="104" customFormat="1" x14ac:dyDescent="0.3">
      <c r="A301" s="112"/>
      <c r="F301" s="114"/>
      <c r="G301" s="116"/>
      <c r="H301" s="116"/>
    </row>
    <row r="302" spans="1:8" s="104" customFormat="1" x14ac:dyDescent="0.3">
      <c r="A302" s="54" t="str">
        <f>Dist2</f>
        <v>Essential</v>
      </c>
      <c r="F302" s="52"/>
    </row>
    <row r="303" spans="1:8" s="104" customFormat="1" x14ac:dyDescent="0.3">
      <c r="A303" s="104" t="str">
        <f ca="1">'Calc (Jurisdiction)'!$B$2</f>
        <v>Calc (Jurisdiction)</v>
      </c>
      <c r="B303" s="147" t="s">
        <v>43</v>
      </c>
      <c r="C303" s="104" t="s">
        <v>17</v>
      </c>
      <c r="F303" s="52"/>
      <c r="G303" s="167">
        <f>G304</f>
        <v>2.134361795877902</v>
      </c>
      <c r="H303" s="167">
        <f>H304</f>
        <v>2.3576767413870154</v>
      </c>
    </row>
    <row r="304" spans="1:8" s="104" customFormat="1" x14ac:dyDescent="0.3">
      <c r="A304" s="104" t="str">
        <f ca="1">'Calc (LRMC Planning case)'!$B$2</f>
        <v>Calc (LRMC Planning case)</v>
      </c>
      <c r="B304" s="112" t="s">
        <v>43</v>
      </c>
      <c r="C304" s="104" t="s">
        <v>17</v>
      </c>
      <c r="D304" s="112"/>
      <c r="E304" s="112"/>
      <c r="F304" s="52"/>
      <c r="G304" s="110">
        <f>IF('Input Global'!$B$60="frontier number",'Input Frontier'!G38,IF('Input Global'!$B$60="CPI",$F$251*(1+inflation),$F$251*('Input Frontier'!G38/'Input Frontier'!F38)))</f>
        <v>2.134361795877902</v>
      </c>
      <c r="H304" s="110">
        <f>IF('Input Global'!$B$60="frontier number",'Input Frontier'!H38,IF('Input Global'!$B$60="CPI",$F$251*(1+inflation)^2,G304*('Input Frontier'!H38/'Input Frontier'!G38)))</f>
        <v>2.3576767413870154</v>
      </c>
    </row>
    <row r="305" spans="1:11" s="104" customFormat="1" x14ac:dyDescent="0.3">
      <c r="A305" s="104" t="str">
        <f ca="1">'Calc (LRMC Slow Rate)'!$B$2</f>
        <v>Calc (LRMC Slow Rate)</v>
      </c>
      <c r="B305" s="112" t="s">
        <v>43</v>
      </c>
      <c r="C305" s="104" t="s">
        <v>17</v>
      </c>
      <c r="D305" s="112"/>
      <c r="E305" s="112"/>
      <c r="F305" s="52"/>
      <c r="G305" s="110">
        <f>IF('Input Global'!$B$60="frontier number",'Input Frontier'!G39,IF('Input Global'!$B$60="CPI",$F$251*(1+inflation),$F$251*('Input Frontier'!G39/'Input Frontier'!F39)))</f>
        <v>2.1378315725175741</v>
      </c>
      <c r="H305" s="110">
        <f>IF('Input Global'!$B$60="frontier number",'Input Frontier'!H39,IF('Input Global'!$B$60="CPI",$F$251*(1+inflation)^2,G305*('Input Frontier'!H39/'Input Frontier'!G39)))</f>
        <v>2.2472823552575565</v>
      </c>
    </row>
    <row r="306" spans="1:11" s="104" customFormat="1" x14ac:dyDescent="0.3">
      <c r="A306" s="104" t="str">
        <f ca="1">'Calc (Market Planning Case)'!$B$2</f>
        <v>Calc (Market Planning Case)</v>
      </c>
      <c r="B306" s="112" t="s">
        <v>43</v>
      </c>
      <c r="C306" s="104" t="s">
        <v>17</v>
      </c>
      <c r="D306" s="112"/>
      <c r="E306" s="112"/>
      <c r="F306" s="52"/>
      <c r="G306" s="110">
        <f>IF('Input Global'!$B$60="frontier number",'Input Frontier'!G40,IF('Input Global'!$B$60="CPI",$F$251*(1+inflation),$F$251*('Input Frontier'!G40/'Input Frontier'!F40)))</f>
        <v>2.2645353871666596</v>
      </c>
      <c r="H306" s="110">
        <f>IF('Input Global'!$B$60="frontier number",'Input Frontier'!H40,IF('Input Global'!$B$60="CPI",$F$251*(1+inflation)^2,G306*('Input Frontier'!H40/'Input Frontier'!G40)))</f>
        <v>2.1577933516992789</v>
      </c>
    </row>
    <row r="307" spans="1:11" s="104" customFormat="1" x14ac:dyDescent="0.3">
      <c r="A307" s="104" t="str">
        <f ca="1">'Calc (Market Slow Rate)'!$B$2</f>
        <v>Calc (Market Slow Rate)</v>
      </c>
      <c r="B307" s="112" t="s">
        <v>43</v>
      </c>
      <c r="C307" s="104" t="s">
        <v>17</v>
      </c>
      <c r="D307" s="112"/>
      <c r="E307" s="112"/>
      <c r="F307" s="52"/>
      <c r="G307" s="110">
        <f>IF('Input Global'!$B$60="frontier number",'Input Frontier'!G41,IF('Input Global'!$B$60="CPI",$F$251*(1+inflation),$F$251*('Input Frontier'!G41/'Input Frontier'!F41)))</f>
        <v>2.3829047269520003</v>
      </c>
      <c r="H307" s="110">
        <f>IF('Input Global'!$B$60="frontier number",'Input Frontier'!H41,IF('Input Global'!$B$60="CPI",$F$251*(1+inflation)^2,G307*('Input Frontier'!H41/'Input Frontier'!G41)))</f>
        <v>2.2364021594082542</v>
      </c>
    </row>
    <row r="308" spans="1:11" s="104" customFormat="1" x14ac:dyDescent="0.3">
      <c r="A308" s="117"/>
      <c r="B308" s="112"/>
      <c r="C308" s="112"/>
      <c r="D308" s="112"/>
      <c r="F308" s="52"/>
    </row>
    <row r="309" spans="1:11" s="104" customFormat="1" x14ac:dyDescent="0.3">
      <c r="A309" s="113" t="str">
        <f>Dist3</f>
        <v>Endeavour</v>
      </c>
      <c r="B309" s="112"/>
      <c r="C309" s="112"/>
      <c r="D309" s="112"/>
      <c r="E309" s="112"/>
      <c r="F309" s="52"/>
      <c r="G309" s="112"/>
      <c r="H309" s="112"/>
    </row>
    <row r="310" spans="1:11" s="104" customFormat="1" x14ac:dyDescent="0.3">
      <c r="A310" s="104" t="str">
        <f ca="1">'Calc (Jurisdiction)'!$B$2</f>
        <v>Calc (Jurisdiction)</v>
      </c>
      <c r="B310" s="147" t="s">
        <v>43</v>
      </c>
      <c r="C310" s="104" t="s">
        <v>17</v>
      </c>
      <c r="D310" s="112"/>
      <c r="E310" s="112"/>
      <c r="F310" s="52"/>
      <c r="G310" s="167">
        <f>G311</f>
        <v>2.1135126945102725</v>
      </c>
      <c r="H310" s="167">
        <f>H311</f>
        <v>2.2219080450147288</v>
      </c>
    </row>
    <row r="311" spans="1:11" s="104" customFormat="1" x14ac:dyDescent="0.3">
      <c r="A311" s="104" t="str">
        <f ca="1">'Calc (LRMC Planning case)'!$B$2</f>
        <v>Calc (LRMC Planning case)</v>
      </c>
      <c r="B311" s="112" t="s">
        <v>43</v>
      </c>
      <c r="C311" s="104" t="s">
        <v>17</v>
      </c>
      <c r="D311" s="112"/>
      <c r="E311" s="112"/>
      <c r="F311" s="52"/>
      <c r="G311" s="110">
        <f>IF('Input Global'!$B$60="frontier number",'Input Frontier'!G44,IF('Input Global'!$B$60="CPI",$F$262*(1+inflation),$F$262*('Input Frontier'!G44/'Input Frontier'!F44)))</f>
        <v>2.1135126945102725</v>
      </c>
      <c r="H311" s="110">
        <f>IF('Input Global'!$B$60="frontier number",'Input Frontier'!H44,IF('Input Global'!$B$60="CPI",$F$262*(1+inflation)^2,G311*('Input Frontier'!H44/'Input Frontier'!G44)))</f>
        <v>2.2219080450147288</v>
      </c>
    </row>
    <row r="312" spans="1:11" s="104" customFormat="1" x14ac:dyDescent="0.3">
      <c r="A312" s="104" t="str">
        <f ca="1">'Calc (LRMC Slow Rate)'!$B$2</f>
        <v>Calc (LRMC Slow Rate)</v>
      </c>
      <c r="B312" s="112" t="s">
        <v>43</v>
      </c>
      <c r="C312" s="104" t="s">
        <v>17</v>
      </c>
      <c r="D312" s="112"/>
      <c r="E312" s="112"/>
      <c r="F312" s="52"/>
      <c r="G312" s="110">
        <f>IF('Input Global'!$B$60="frontier number",'Input Frontier'!G45,IF('Input Global'!$B$60="CPI",$F$262*(1+inflation),$F$262*('Input Frontier'!G45/'Input Frontier'!F45)))</f>
        <v>2.1712184858920378</v>
      </c>
      <c r="H312" s="110">
        <f>IF('Input Global'!$B$60="frontier number",'Input Frontier'!H45,IF('Input Global'!$B$60="CPI",$F$262*(1+inflation)^2,G312*('Input Frontier'!H45/'Input Frontier'!G45)))</f>
        <v>2.2262490200576792</v>
      </c>
    </row>
    <row r="313" spans="1:11" s="104" customFormat="1" x14ac:dyDescent="0.3">
      <c r="A313" s="104" t="str">
        <f ca="1">'Calc (Market Planning Case)'!$B$2</f>
        <v>Calc (Market Planning Case)</v>
      </c>
      <c r="B313" s="112" t="s">
        <v>43</v>
      </c>
      <c r="C313" s="104" t="s">
        <v>17</v>
      </c>
      <c r="D313" s="112"/>
      <c r="E313" s="112"/>
      <c r="F313" s="52"/>
      <c r="G313" s="110">
        <f>IF('Input Global'!$B$60="frontier number",'Input Frontier'!G46,IF('Input Global'!$B$60="CPI",$F$262*(1+inflation),$F$262*('Input Frontier'!G46/'Input Frontier'!F46)))</f>
        <v>2.2407406156520184</v>
      </c>
      <c r="H313" s="110">
        <f>IF('Input Global'!$B$60="frontier number",'Input Frontier'!H46,IF('Input Global'!$B$60="CPI",$F$262*(1+inflation)^2,G313*('Input Frontier'!H46/'Input Frontier'!G46)))</f>
        <v>2.1324960407321694</v>
      </c>
    </row>
    <row r="314" spans="1:11" s="104" customFormat="1" x14ac:dyDescent="0.3">
      <c r="A314" s="104" t="str">
        <f ca="1">'Calc (Market Slow Rate)'!$B$2</f>
        <v>Calc (Market Slow Rate)</v>
      </c>
      <c r="B314" s="112" t="s">
        <v>43</v>
      </c>
      <c r="C314" s="104" t="s">
        <v>17</v>
      </c>
      <c r="D314" s="112"/>
      <c r="E314" s="112"/>
      <c r="F314" s="52"/>
      <c r="G314" s="110">
        <f>IF('Input Global'!$B$60="frontier number",'Input Frontier'!G47,IF('Input Global'!$B$60="CPI",$F$262*(1+inflation),$F$262*('Input Frontier'!G47/'Input Frontier'!F47)))</f>
        <v>2.3583840000102092</v>
      </c>
      <c r="H314" s="110">
        <f>IF('Input Global'!$B$60="frontier number",'Input Frontier'!H47,IF('Input Global'!$B$60="CPI",$F$262*(1+inflation)^2,G314*('Input Frontier'!H47/'Input Frontier'!G47)))</f>
        <v>2.2158567482026963</v>
      </c>
    </row>
    <row r="315" spans="1:11" s="104" customFormat="1" x14ac:dyDescent="0.3">
      <c r="B315" s="112"/>
      <c r="C315" s="112"/>
      <c r="D315" s="112"/>
      <c r="E315" s="112"/>
      <c r="F315" s="55"/>
      <c r="G315" s="55"/>
      <c r="H315" s="55"/>
      <c r="I315" s="55"/>
      <c r="J315" s="55"/>
      <c r="K315" s="55"/>
    </row>
    <row r="316" spans="1:11" s="104" customFormat="1" x14ac:dyDescent="0.3">
      <c r="A316" s="46" t="s">
        <v>22</v>
      </c>
      <c r="B316" s="112"/>
      <c r="C316" s="112"/>
      <c r="D316" s="112"/>
      <c r="E316" s="112"/>
      <c r="F316" s="55"/>
      <c r="G316" s="55"/>
      <c r="H316" s="55"/>
    </row>
    <row r="317" spans="1:11" s="104" customFormat="1" x14ac:dyDescent="0.3">
      <c r="A317" s="113" t="str">
        <f>Dist1</f>
        <v xml:space="preserve">Ausgrid </v>
      </c>
      <c r="B317" s="112"/>
      <c r="C317" s="112"/>
      <c r="D317" s="112"/>
      <c r="E317" s="112"/>
      <c r="F317" s="116"/>
      <c r="G317" s="116"/>
      <c r="H317" s="116"/>
    </row>
    <row r="318" spans="1:11" s="104" customFormat="1" x14ac:dyDescent="0.3">
      <c r="A318" s="104" t="str">
        <f ca="1">'Calc (Jurisdiction)'!$B$2</f>
        <v>Calc (Jurisdiction)</v>
      </c>
      <c r="B318" s="147" t="s">
        <v>43</v>
      </c>
      <c r="C318" s="104" t="s">
        <v>17</v>
      </c>
      <c r="D318" s="112"/>
      <c r="E318" s="112"/>
      <c r="F318" s="116"/>
      <c r="G318" s="167">
        <f>G319</f>
        <v>0.48656703551322888</v>
      </c>
      <c r="H318" s="167">
        <f>H319</f>
        <v>0.51525335563716224</v>
      </c>
    </row>
    <row r="319" spans="1:11" s="104" customFormat="1" x14ac:dyDescent="0.3">
      <c r="A319" s="104" t="str">
        <f ca="1">'Calc (LRMC Planning case)'!$B$2</f>
        <v>Calc (LRMC Planning case)</v>
      </c>
      <c r="B319" s="112" t="s">
        <v>43</v>
      </c>
      <c r="C319" s="104" t="s">
        <v>17</v>
      </c>
      <c r="D319" s="112"/>
      <c r="E319" s="112"/>
      <c r="F319" s="116"/>
      <c r="G319" s="110">
        <f>IF('Input Global'!$B$60="frontier number",'Input Frontier'!G51,IF('Input Global'!$B$60="CPI",$F$241*(1+inflation),$F$241*('Input Frontier'!G51/'Input Frontier'!F51)))</f>
        <v>0.48656703551322888</v>
      </c>
      <c r="H319" s="110">
        <f>IF('Input Global'!$B$60="frontier number",'Input Frontier'!H51,IF('Input Global'!$B$60="CPI",$F$241*(1+inflation)^2,G319*('Input Frontier'!H51/'Input Frontier'!G51)))</f>
        <v>0.51525335563716224</v>
      </c>
    </row>
    <row r="320" spans="1:11" s="104" customFormat="1" x14ac:dyDescent="0.3">
      <c r="A320" s="104" t="str">
        <f ca="1">'Calc (LRMC Slow Rate)'!$B$2</f>
        <v>Calc (LRMC Slow Rate)</v>
      </c>
      <c r="B320" s="112" t="s">
        <v>43</v>
      </c>
      <c r="C320" s="104" t="s">
        <v>17</v>
      </c>
      <c r="D320" s="112"/>
      <c r="E320" s="112"/>
      <c r="F320" s="116"/>
      <c r="G320" s="110">
        <f>IF('Input Global'!$B$60="frontier number",'Input Frontier'!G52,IF('Input Global'!$B$60="CPI",$F$241*(1+inflation),$F$241*('Input Frontier'!G52/'Input Frontier'!F52)))</f>
        <v>0.48656705269465428</v>
      </c>
      <c r="H320" s="110">
        <f>IF('Input Global'!$B$60="frontier number",'Input Frontier'!H52,IF('Input Global'!$B$60="CPI",$F$241*(1+inflation)^2,G320*('Input Frontier'!H52/'Input Frontier'!G52)))</f>
        <v>0.51525329609533654</v>
      </c>
    </row>
    <row r="321" spans="1:8" s="104" customFormat="1" x14ac:dyDescent="0.3">
      <c r="A321" s="104" t="str">
        <f ca="1">'Calc (Market Planning Case)'!$B$2</f>
        <v>Calc (Market Planning Case)</v>
      </c>
      <c r="B321" s="112" t="s">
        <v>43</v>
      </c>
      <c r="C321" s="104" t="s">
        <v>17</v>
      </c>
      <c r="D321" s="112"/>
      <c r="E321" s="112"/>
      <c r="F321" s="116"/>
      <c r="G321" s="110">
        <f>IF('Input Global'!$B$60="frontier number",'Input Frontier'!G53,IF('Input Global'!$B$60="CPI",$F$241*(1+inflation),$F$241*('Input Frontier'!G53/'Input Frontier'!F53)))</f>
        <v>0.48656703551322888</v>
      </c>
      <c r="H321" s="110">
        <f>IF('Input Global'!$B$60="frontier number",'Input Frontier'!H53,IF('Input Global'!$B$60="CPI",$F$241*(1+inflation)^2,G321*('Input Frontier'!H53/'Input Frontier'!G53)))</f>
        <v>0.51525335563716224</v>
      </c>
    </row>
    <row r="322" spans="1:8" s="104" customFormat="1" x14ac:dyDescent="0.3">
      <c r="A322" s="104" t="str">
        <f ca="1">'Calc (Market Slow Rate)'!$B$2</f>
        <v>Calc (Market Slow Rate)</v>
      </c>
      <c r="B322" s="112" t="s">
        <v>43</v>
      </c>
      <c r="C322" s="104" t="s">
        <v>17</v>
      </c>
      <c r="D322" s="112"/>
      <c r="E322" s="112"/>
      <c r="F322" s="116"/>
      <c r="G322" s="110">
        <f>IF('Input Global'!$B$60="frontier number",'Input Frontier'!G54,IF('Input Global'!$B$60="CPI",$F$241*(1+inflation),$F$241*('Input Frontier'!G54/'Input Frontier'!F54)))</f>
        <v>0.48656705269465428</v>
      </c>
      <c r="H322" s="110">
        <f>IF('Input Global'!$B$60="frontier number",'Input Frontier'!H54,IF('Input Global'!$B$60="CPI",$F$241*(1+inflation)^2,G322*('Input Frontier'!H54/'Input Frontier'!G54)))</f>
        <v>0.51525329609533654</v>
      </c>
    </row>
    <row r="323" spans="1:8" s="104" customFormat="1" x14ac:dyDescent="0.3">
      <c r="B323" s="112"/>
      <c r="C323" s="112"/>
      <c r="D323" s="112"/>
      <c r="E323" s="112"/>
      <c r="F323" s="112"/>
      <c r="G323" s="112"/>
      <c r="H323" s="112"/>
    </row>
    <row r="324" spans="1:8" s="104" customFormat="1" x14ac:dyDescent="0.3">
      <c r="A324" s="113" t="str">
        <f>Dist2</f>
        <v>Essential</v>
      </c>
      <c r="B324" s="112"/>
      <c r="C324" s="112"/>
      <c r="D324" s="112"/>
      <c r="E324" s="112"/>
      <c r="F324" s="116"/>
      <c r="G324" s="116"/>
      <c r="H324" s="116"/>
    </row>
    <row r="325" spans="1:8" s="104" customFormat="1" x14ac:dyDescent="0.3">
      <c r="A325" s="104" t="str">
        <f ca="1">'Calc (Jurisdiction)'!$B$2</f>
        <v>Calc (Jurisdiction)</v>
      </c>
      <c r="B325" s="147" t="s">
        <v>43</v>
      </c>
      <c r="C325" s="104" t="s">
        <v>17</v>
      </c>
      <c r="D325" s="112"/>
      <c r="E325" s="112"/>
      <c r="F325" s="116"/>
      <c r="G325" s="167">
        <f>G326</f>
        <v>0.4876653809658546</v>
      </c>
      <c r="H325" s="167">
        <f>H326</f>
        <v>0.51641645576275408</v>
      </c>
    </row>
    <row r="326" spans="1:8" s="104" customFormat="1" x14ac:dyDescent="0.3">
      <c r="A326" s="104" t="str">
        <f ca="1">'Calc (LRMC Planning case)'!$B$2</f>
        <v>Calc (LRMC Planning case)</v>
      </c>
      <c r="B326" s="112" t="s">
        <v>43</v>
      </c>
      <c r="C326" s="104" t="s">
        <v>17</v>
      </c>
      <c r="D326" s="112"/>
      <c r="E326" s="112"/>
      <c r="F326" s="116"/>
      <c r="G326" s="110">
        <f>IF('Input Global'!$B$60="frontier number",'Input Frontier'!G57,IF('Input Global'!$B$60="CPI",$F$252*(1+inflation),$F$252*('Input Frontier'!G57/'Input Frontier'!F57)))</f>
        <v>0.4876653809658546</v>
      </c>
      <c r="H326" s="110">
        <f>IF('Input Global'!$B$60="frontier number",'Input Frontier'!H57,IF('Input Global'!$B$60="CPI",$F$252*(1+inflation)^2,G326*('Input Frontier'!H57/'Input Frontier'!G57)))</f>
        <v>0.51641645576275408</v>
      </c>
    </row>
    <row r="327" spans="1:8" s="104" customFormat="1" x14ac:dyDescent="0.3">
      <c r="A327" s="104" t="str">
        <f ca="1">'Calc (LRMC Slow Rate)'!$B$2</f>
        <v>Calc (LRMC Slow Rate)</v>
      </c>
      <c r="B327" s="112" t="s">
        <v>43</v>
      </c>
      <c r="C327" s="104" t="s">
        <v>17</v>
      </c>
      <c r="D327" s="112"/>
      <c r="E327" s="112"/>
      <c r="F327" s="116"/>
      <c r="G327" s="110">
        <f>IF('Input Global'!$B$60="frontier number",'Input Frontier'!G58,IF('Input Global'!$B$60="CPI",$F$252*(1+inflation),$F$252*('Input Frontier'!G58/'Input Frontier'!F58)))</f>
        <v>0.48766539818606436</v>
      </c>
      <c r="H327" s="110">
        <f>IF('Input Global'!$B$60="frontier number",'Input Frontier'!H58,IF('Input Global'!$B$60="CPI",$F$252*(1+inflation)^2,G327*('Input Frontier'!H58/'Input Frontier'!G58)))</f>
        <v>0.51641639608652246</v>
      </c>
    </row>
    <row r="328" spans="1:8" s="104" customFormat="1" x14ac:dyDescent="0.3">
      <c r="A328" s="104" t="str">
        <f ca="1">'Calc (Market Planning Case)'!$B$2</f>
        <v>Calc (Market Planning Case)</v>
      </c>
      <c r="B328" s="112" t="s">
        <v>43</v>
      </c>
      <c r="C328" s="104" t="s">
        <v>17</v>
      </c>
      <c r="D328" s="112"/>
      <c r="E328" s="112"/>
      <c r="F328" s="116"/>
      <c r="G328" s="110">
        <f>IF('Input Global'!$B$60="frontier number",'Input Frontier'!G59,IF('Input Global'!$B$60="CPI",$F$252*(1+inflation),$F$252*('Input Frontier'!G59/'Input Frontier'!F59)))</f>
        <v>0.4876653809658546</v>
      </c>
      <c r="H328" s="110">
        <f>IF('Input Global'!$B$60="frontier number",'Input Frontier'!H59,IF('Input Global'!$B$60="CPI",$F$252*(1+inflation)^2,G328*('Input Frontier'!H59/'Input Frontier'!G59)))</f>
        <v>0.51641645576275408</v>
      </c>
    </row>
    <row r="329" spans="1:8" s="104" customFormat="1" x14ac:dyDescent="0.3">
      <c r="A329" s="104" t="str">
        <f ca="1">'Calc (Market Slow Rate)'!$B$2</f>
        <v>Calc (Market Slow Rate)</v>
      </c>
      <c r="B329" s="112" t="s">
        <v>43</v>
      </c>
      <c r="C329" s="104" t="s">
        <v>17</v>
      </c>
      <c r="D329" s="112"/>
      <c r="E329" s="112"/>
      <c r="F329" s="116"/>
      <c r="G329" s="110">
        <f>IF('Input Global'!$B$60="frontier number",'Input Frontier'!G60,IF('Input Global'!$B$60="CPI",$F$252*(1+inflation),$F$252*('Input Frontier'!G60/'Input Frontier'!F60)))</f>
        <v>0.48766539818606436</v>
      </c>
      <c r="H329" s="110">
        <f>IF('Input Global'!$B$60="frontier number",'Input Frontier'!H60,IF('Input Global'!$B$60="CPI",$F$252*(1+inflation)^2,G329*('Input Frontier'!H60/'Input Frontier'!G60)))</f>
        <v>0.51641639608652246</v>
      </c>
    </row>
    <row r="330" spans="1:8" s="104" customFormat="1" x14ac:dyDescent="0.3">
      <c r="B330" s="112"/>
      <c r="C330" s="112"/>
      <c r="D330" s="112"/>
      <c r="E330" s="112"/>
      <c r="F330" s="116"/>
      <c r="G330" s="56"/>
      <c r="H330" s="56"/>
    </row>
    <row r="331" spans="1:8" s="104" customFormat="1" x14ac:dyDescent="0.3">
      <c r="A331" s="113" t="str">
        <f>Dist3</f>
        <v>Endeavour</v>
      </c>
      <c r="B331" s="112"/>
      <c r="C331" s="112"/>
      <c r="D331" s="112"/>
      <c r="E331" s="112"/>
      <c r="F331" s="116"/>
      <c r="G331" s="116"/>
      <c r="H331" s="116"/>
    </row>
    <row r="332" spans="1:8" s="104" customFormat="1" x14ac:dyDescent="0.3">
      <c r="A332" s="104" t="str">
        <f ca="1">'Calc (Jurisdiction)'!$B$2</f>
        <v>Calc (Jurisdiction)</v>
      </c>
      <c r="B332" s="147" t="s">
        <v>43</v>
      </c>
      <c r="C332" s="104" t="s">
        <v>17</v>
      </c>
      <c r="D332" s="112"/>
      <c r="E332" s="112"/>
      <c r="F332" s="116"/>
      <c r="G332" s="167">
        <f>G333</f>
        <v>0.48970133839023428</v>
      </c>
      <c r="H332" s="167">
        <f>H333</f>
        <v>0.51857244623946097</v>
      </c>
    </row>
    <row r="333" spans="1:8" s="104" customFormat="1" x14ac:dyDescent="0.3">
      <c r="A333" s="104" t="str">
        <f ca="1">'Calc (LRMC Planning case)'!$B$2</f>
        <v>Calc (LRMC Planning case)</v>
      </c>
      <c r="B333" s="112" t="s">
        <v>43</v>
      </c>
      <c r="C333" s="104" t="s">
        <v>17</v>
      </c>
      <c r="D333" s="112"/>
      <c r="E333" s="112"/>
      <c r="F333" s="116"/>
      <c r="G333" s="110">
        <f>IF('Input Global'!$B$60="frontier number",'Input Frontier'!G63,IF('Input Global'!$B$60="CPI",$F$263*(1+inflation),$F$263*('Input Frontier'!G63/'Input Frontier'!F63)))</f>
        <v>0.48970133839023428</v>
      </c>
      <c r="H333" s="110">
        <f>IF('Input Global'!$B$60="frontier number",'Input Frontier'!H63,IF('Input Global'!$B$60="CPI",$F$263*(1+inflation)^2,G333*('Input Frontier'!H63/'Input Frontier'!G63)))</f>
        <v>0.51857244623946097</v>
      </c>
    </row>
    <row r="334" spans="1:8" s="104" customFormat="1" x14ac:dyDescent="0.3">
      <c r="A334" s="104" t="str">
        <f ca="1">'Calc (LRMC Slow Rate)'!$B$2</f>
        <v>Calc (LRMC Slow Rate)</v>
      </c>
      <c r="B334" s="112" t="s">
        <v>43</v>
      </c>
      <c r="C334" s="104" t="s">
        <v>17</v>
      </c>
      <c r="D334" s="112"/>
      <c r="E334" s="112"/>
      <c r="F334" s="116"/>
      <c r="G334" s="110">
        <f>IF('Input Global'!$B$60="frontier number",'Input Frontier'!G64,IF('Input Global'!$B$60="CPI",$F$263*(1+inflation),$F$263*('Input Frontier'!G64/'Input Frontier'!F64)))</f>
        <v>0.48970135568233669</v>
      </c>
      <c r="H334" s="110">
        <f>IF('Input Global'!$B$60="frontier number",'Input Frontier'!H64,IF('Input Global'!$B$60="CPI",$F$263*(1+inflation)^2,G334*('Input Frontier'!H64/'Input Frontier'!G64)))</f>
        <v>0.51857238631408642</v>
      </c>
    </row>
    <row r="335" spans="1:8" s="104" customFormat="1" x14ac:dyDescent="0.3">
      <c r="A335" s="104" t="str">
        <f ca="1">'Calc (Market Planning Case)'!$B$2</f>
        <v>Calc (Market Planning Case)</v>
      </c>
      <c r="B335" s="112" t="s">
        <v>43</v>
      </c>
      <c r="C335" s="104" t="s">
        <v>17</v>
      </c>
      <c r="D335" s="112"/>
      <c r="E335" s="112"/>
      <c r="F335" s="116"/>
      <c r="G335" s="110">
        <f>IF('Input Global'!$B$60="frontier number",'Input Frontier'!G65,IF('Input Global'!$B$60="CPI",$F$263*(1+inflation),$F$263*('Input Frontier'!G65/'Input Frontier'!F65)))</f>
        <v>0.48970133839023428</v>
      </c>
      <c r="H335" s="110">
        <f>IF('Input Global'!$B$60="frontier number",'Input Frontier'!H65,IF('Input Global'!$B$60="CPI",$F$263*(1+inflation)^2,G335*('Input Frontier'!H65/'Input Frontier'!G65)))</f>
        <v>0.51857244623946097</v>
      </c>
    </row>
    <row r="336" spans="1:8" s="104" customFormat="1" x14ac:dyDescent="0.3">
      <c r="A336" s="104" t="str">
        <f ca="1">'Calc (Market Slow Rate)'!$B$2</f>
        <v>Calc (Market Slow Rate)</v>
      </c>
      <c r="B336" s="112" t="s">
        <v>43</v>
      </c>
      <c r="C336" s="104" t="s">
        <v>17</v>
      </c>
      <c r="D336" s="112"/>
      <c r="E336" s="112"/>
      <c r="F336" s="116"/>
      <c r="G336" s="110">
        <f>IF('Input Global'!$B$60="frontier number",'Input Frontier'!G66,IF('Input Global'!$B$60="CPI",$F$263*(1+inflation),$F$263*('Input Frontier'!G66/'Input Frontier'!F66)))</f>
        <v>0.48970135568233669</v>
      </c>
      <c r="H336" s="110">
        <f>IF('Input Global'!$B$60="frontier number",'Input Frontier'!H66,IF('Input Global'!$B$60="CPI",$F$263*(1+inflation)^2,G336*('Input Frontier'!H66/'Input Frontier'!G66)))</f>
        <v>0.51857238631408642</v>
      </c>
    </row>
    <row r="337" spans="1:10" s="104" customFormat="1" x14ac:dyDescent="0.3">
      <c r="A337" s="112"/>
      <c r="F337" s="116"/>
      <c r="G337" s="116"/>
      <c r="H337" s="116"/>
    </row>
    <row r="338" spans="1:10" s="104" customFormat="1" x14ac:dyDescent="0.3">
      <c r="A338" s="109" t="s">
        <v>23</v>
      </c>
      <c r="F338" s="116"/>
      <c r="G338" s="116"/>
      <c r="H338" s="116"/>
    </row>
    <row r="339" spans="1:10" s="104" customFormat="1" x14ac:dyDescent="0.3">
      <c r="A339" s="54" t="str">
        <f>Dist1</f>
        <v xml:space="preserve">Ausgrid </v>
      </c>
      <c r="B339" s="112" t="s">
        <v>43</v>
      </c>
      <c r="C339" s="104" t="s">
        <v>17</v>
      </c>
      <c r="D339" s="112"/>
      <c r="E339" s="112"/>
      <c r="F339" s="116"/>
      <c r="G339" s="110">
        <f>IF('Input Global'!$B$60="frontier number",'Input Frontier'!G69,IF('Input Global'!$B$60="CPI",$F$242*(1+inflation),$F$242*('Input Frontier'!G69/'Input Frontier'!F69)))</f>
        <v>0.2422560188087774</v>
      </c>
      <c r="H339" s="110">
        <f>IF('Input Global'!$B$60="frontier number",'Input Frontier'!F69,IF('Input Global'!$B$60="CPI",$F$242*(1+inflation)^2,G339*('Input Frontier'!H69/'Input Frontier'!G69)))</f>
        <v>0.21050736677115994</v>
      </c>
    </row>
    <row r="340" spans="1:10" s="104" customFormat="1" x14ac:dyDescent="0.3">
      <c r="A340" s="54" t="str">
        <f>Dist2</f>
        <v>Essential</v>
      </c>
      <c r="B340" s="112" t="s">
        <v>43</v>
      </c>
      <c r="C340" s="104" t="s">
        <v>17</v>
      </c>
      <c r="D340" s="112"/>
      <c r="E340" s="112"/>
      <c r="F340" s="116"/>
      <c r="G340" s="110">
        <f>IF('Input Global'!$B$60="frontier number",'Input Frontier'!G70,IF('Input Global'!$B$60="CPI",$F$253*(1+inflation),$F$253*('Input Frontier'!G70/'Input Frontier'!F70)))</f>
        <v>0.25308310344827584</v>
      </c>
      <c r="H340" s="110">
        <f>IF('Input Global'!$B$60="frontier number",'Input Frontier'!H70,IF('Input Global'!$B$60="CPI",$F$253*(1+inflation)^2,G340*('Input Frontier'!H70/'Input Frontier'!G70)))</f>
        <v>0.21991551724137939</v>
      </c>
    </row>
    <row r="341" spans="1:10" s="104" customFormat="1" ht="14.25" customHeight="1" x14ac:dyDescent="0.3">
      <c r="A341" s="54" t="str">
        <f>Dist3</f>
        <v>Endeavour</v>
      </c>
      <c r="B341" s="112" t="s">
        <v>43</v>
      </c>
      <c r="C341" s="104" t="s">
        <v>17</v>
      </c>
      <c r="D341" s="112"/>
      <c r="E341" s="112"/>
      <c r="F341" s="116"/>
      <c r="G341" s="110">
        <f>IF('Input Global'!$B$60="frontier number",'Input Frontier'!G71,IF('Input Global'!$B$60="CPI",$F$264*(1+inflation),$F$264*('Input Frontier'!G71/'Input Frontier'!F71)))</f>
        <v>0.24911097178683381</v>
      </c>
      <c r="H341" s="110">
        <f>IF('Input Global'!$B$60="frontier number",'Input Frontier'!H71,IF('Input Global'!$B$60="CPI",$F$264*(1+inflation)^2,G341*('Input Frontier'!H71/'Input Frontier'!G71)))</f>
        <v>0.21646394984326017</v>
      </c>
    </row>
    <row r="342" spans="1:10" s="104" customFormat="1" ht="14.25" customHeight="1" x14ac:dyDescent="0.3">
      <c r="A342" s="54"/>
      <c r="B342" s="112"/>
      <c r="C342" s="112"/>
      <c r="D342" s="112"/>
      <c r="E342" s="112"/>
      <c r="F342" s="116"/>
      <c r="G342" s="112"/>
      <c r="H342" s="112"/>
      <c r="I342" s="112"/>
      <c r="J342" s="112"/>
    </row>
    <row r="343" spans="1:10" s="104" customFormat="1" hidden="1" x14ac:dyDescent="0.3">
      <c r="A343" s="109" t="str">
        <f>Scheme1</f>
        <v>Energy savings</v>
      </c>
      <c r="F343" s="116"/>
      <c r="G343" s="116"/>
      <c r="H343" s="116"/>
    </row>
    <row r="344" spans="1:10" s="104" customFormat="1" hidden="1" x14ac:dyDescent="0.3">
      <c r="A344" s="54" t="str">
        <f>Dist1</f>
        <v xml:space="preserve">Ausgrid </v>
      </c>
      <c r="B344" s="112"/>
      <c r="D344" s="112"/>
      <c r="E344" s="112"/>
      <c r="F344" s="116"/>
      <c r="G344" s="116"/>
      <c r="H344" s="116"/>
      <c r="I344" s="116"/>
      <c r="J344" s="116"/>
    </row>
    <row r="345" spans="1:10" s="104" customFormat="1" hidden="1" x14ac:dyDescent="0.3">
      <c r="A345" s="104" t="str">
        <f ca="1">A332</f>
        <v>Calc (Jurisdiction)</v>
      </c>
      <c r="B345" s="145"/>
      <c r="C345" s="104" t="s">
        <v>17</v>
      </c>
      <c r="D345" s="112"/>
      <c r="E345" s="112"/>
      <c r="F345" s="116"/>
      <c r="G345" s="146"/>
      <c r="H345" s="146"/>
      <c r="I345" s="116"/>
      <c r="J345" s="116"/>
    </row>
    <row r="346" spans="1:10" s="104" customFormat="1" hidden="1" x14ac:dyDescent="0.3">
      <c r="A346" s="104" t="str">
        <f ca="1">'Calc (LRMC Planning case)'!$B$2</f>
        <v>Calc (LRMC Planning case)</v>
      </c>
      <c r="B346" s="145"/>
      <c r="C346" s="104" t="s">
        <v>17</v>
      </c>
      <c r="D346" s="112"/>
      <c r="E346" s="112"/>
      <c r="F346" s="116"/>
      <c r="G346" s="110"/>
      <c r="H346" s="110"/>
      <c r="I346" s="116"/>
      <c r="J346" s="116"/>
    </row>
    <row r="347" spans="1:10" s="104" customFormat="1" hidden="1" x14ac:dyDescent="0.3">
      <c r="A347" s="104" t="str">
        <f ca="1">'Calc (LRMC Slow Rate)'!$B$2</f>
        <v>Calc (LRMC Slow Rate)</v>
      </c>
      <c r="B347" s="145"/>
      <c r="C347" s="104" t="s">
        <v>17</v>
      </c>
      <c r="D347" s="112"/>
      <c r="E347" s="112"/>
      <c r="F347" s="116"/>
      <c r="G347" s="110"/>
      <c r="H347" s="110"/>
      <c r="I347" s="116"/>
      <c r="J347" s="116"/>
    </row>
    <row r="348" spans="1:10" s="104" customFormat="1" hidden="1" x14ac:dyDescent="0.3">
      <c r="A348" s="104" t="str">
        <f ca="1">'Calc (Market Planning Case)'!$B$2</f>
        <v>Calc (Market Planning Case)</v>
      </c>
      <c r="B348" s="145"/>
      <c r="C348" s="104" t="s">
        <v>17</v>
      </c>
      <c r="D348" s="112"/>
      <c r="E348" s="112"/>
      <c r="F348" s="116"/>
      <c r="G348" s="110"/>
      <c r="H348" s="110"/>
      <c r="I348" s="116"/>
      <c r="J348" s="116"/>
    </row>
    <row r="349" spans="1:10" s="104" customFormat="1" hidden="1" x14ac:dyDescent="0.3">
      <c r="A349" s="104" t="str">
        <f ca="1">'Calc (Market Slow Rate)'!$B$2</f>
        <v>Calc (Market Slow Rate)</v>
      </c>
      <c r="B349" s="145"/>
      <c r="C349" s="104" t="s">
        <v>17</v>
      </c>
      <c r="D349" s="112"/>
      <c r="E349" s="112"/>
      <c r="F349" s="116"/>
      <c r="G349" s="110"/>
      <c r="H349" s="110"/>
      <c r="I349" s="116"/>
      <c r="J349" s="116"/>
    </row>
    <row r="350" spans="1:10" s="104" customFormat="1" hidden="1" x14ac:dyDescent="0.3">
      <c r="A350" s="54"/>
      <c r="B350" s="112"/>
      <c r="C350" s="112"/>
      <c r="D350" s="112"/>
      <c r="E350" s="112"/>
      <c r="F350" s="116"/>
      <c r="G350" s="116"/>
      <c r="H350" s="116"/>
      <c r="I350" s="116"/>
      <c r="J350" s="116"/>
    </row>
    <row r="351" spans="1:10" s="104" customFormat="1" hidden="1" x14ac:dyDescent="0.3">
      <c r="A351" s="54" t="str">
        <f>Dist2</f>
        <v>Essential</v>
      </c>
      <c r="B351" s="112"/>
      <c r="D351" s="112"/>
      <c r="E351" s="112"/>
      <c r="F351" s="116"/>
      <c r="G351" s="116"/>
      <c r="H351" s="116"/>
      <c r="I351" s="116"/>
    </row>
    <row r="352" spans="1:10" s="104" customFormat="1" hidden="1" x14ac:dyDescent="0.3">
      <c r="A352" s="104" t="str">
        <f ca="1">A345</f>
        <v>Calc (Jurisdiction)</v>
      </c>
      <c r="B352" s="145"/>
      <c r="C352" s="104" t="s">
        <v>17</v>
      </c>
      <c r="D352" s="112"/>
      <c r="E352" s="112"/>
      <c r="F352" s="116"/>
      <c r="G352" s="146"/>
      <c r="H352" s="146"/>
      <c r="I352" s="116"/>
    </row>
    <row r="353" spans="1:14" s="104" customFormat="1" hidden="1" x14ac:dyDescent="0.3">
      <c r="A353" s="104" t="str">
        <f ca="1">'Calc (LRMC Planning case)'!$B$2</f>
        <v>Calc (LRMC Planning case)</v>
      </c>
      <c r="B353" s="145"/>
      <c r="C353" s="104" t="s">
        <v>17</v>
      </c>
      <c r="D353" s="112"/>
      <c r="E353" s="112"/>
      <c r="F353" s="116"/>
      <c r="G353" s="110"/>
      <c r="H353" s="110"/>
      <c r="I353" s="116"/>
    </row>
    <row r="354" spans="1:14" s="104" customFormat="1" hidden="1" x14ac:dyDescent="0.3">
      <c r="A354" s="104" t="str">
        <f ca="1">'Calc (LRMC Slow Rate)'!$B$2</f>
        <v>Calc (LRMC Slow Rate)</v>
      </c>
      <c r="B354" s="145"/>
      <c r="C354" s="104" t="s">
        <v>17</v>
      </c>
      <c r="D354" s="112"/>
      <c r="E354" s="112"/>
      <c r="F354" s="116"/>
      <c r="G354" s="110"/>
      <c r="H354" s="110"/>
      <c r="I354" s="116"/>
    </row>
    <row r="355" spans="1:14" s="104" customFormat="1" hidden="1" x14ac:dyDescent="0.3">
      <c r="A355" s="104" t="str">
        <f ca="1">'Calc (Market Planning Case)'!$B$2</f>
        <v>Calc (Market Planning Case)</v>
      </c>
      <c r="B355" s="145"/>
      <c r="C355" s="104" t="s">
        <v>17</v>
      </c>
      <c r="D355" s="112"/>
      <c r="E355" s="112"/>
      <c r="F355" s="116"/>
      <c r="G355" s="110"/>
      <c r="H355" s="110"/>
      <c r="I355" s="116"/>
    </row>
    <row r="356" spans="1:14" s="104" customFormat="1" hidden="1" x14ac:dyDescent="0.3">
      <c r="A356" s="104" t="str">
        <f ca="1">'Calc (Market Slow Rate)'!$B$2</f>
        <v>Calc (Market Slow Rate)</v>
      </c>
      <c r="B356" s="145"/>
      <c r="C356" s="104" t="s">
        <v>17</v>
      </c>
      <c r="D356" s="112"/>
      <c r="E356" s="112"/>
      <c r="F356" s="116"/>
      <c r="G356" s="110"/>
      <c r="H356" s="110"/>
      <c r="I356" s="116"/>
    </row>
    <row r="357" spans="1:14" s="104" customFormat="1" hidden="1" x14ac:dyDescent="0.3">
      <c r="A357" s="54"/>
      <c r="B357" s="112"/>
      <c r="C357" s="112"/>
      <c r="D357" s="112"/>
      <c r="E357" s="112"/>
      <c r="F357" s="112"/>
      <c r="G357" s="112"/>
      <c r="H357" s="112"/>
      <c r="I357" s="112"/>
      <c r="J357" s="112"/>
      <c r="K357" s="112"/>
      <c r="L357" s="112"/>
      <c r="M357" s="112"/>
      <c r="N357" s="112"/>
    </row>
    <row r="358" spans="1:14" s="104" customFormat="1" hidden="1" x14ac:dyDescent="0.3">
      <c r="A358" s="54" t="str">
        <f>Dist3</f>
        <v>Endeavour</v>
      </c>
      <c r="B358" s="112"/>
      <c r="D358" s="112"/>
      <c r="E358" s="112"/>
      <c r="F358" s="116"/>
      <c r="G358" s="116"/>
      <c r="H358" s="116"/>
      <c r="I358" s="116"/>
    </row>
    <row r="359" spans="1:14" s="104" customFormat="1" hidden="1" x14ac:dyDescent="0.3">
      <c r="A359" s="104" t="str">
        <f ca="1">A352</f>
        <v>Calc (Jurisdiction)</v>
      </c>
      <c r="B359" s="145"/>
      <c r="C359" s="104" t="s">
        <v>17</v>
      </c>
      <c r="D359" s="112"/>
      <c r="E359" s="112"/>
      <c r="F359" s="116"/>
      <c r="G359" s="146"/>
      <c r="H359" s="146"/>
      <c r="I359" s="116"/>
    </row>
    <row r="360" spans="1:14" s="104" customFormat="1" hidden="1" x14ac:dyDescent="0.3">
      <c r="A360" s="104" t="str">
        <f ca="1">'Calc (LRMC Planning case)'!$B$2</f>
        <v>Calc (LRMC Planning case)</v>
      </c>
      <c r="B360" s="145"/>
      <c r="C360" s="104" t="s">
        <v>17</v>
      </c>
      <c r="D360" s="112"/>
      <c r="E360" s="112"/>
      <c r="F360" s="116"/>
      <c r="G360" s="110"/>
      <c r="H360" s="110"/>
      <c r="I360" s="116"/>
    </row>
    <row r="361" spans="1:14" s="104" customFormat="1" hidden="1" x14ac:dyDescent="0.3">
      <c r="A361" s="104" t="str">
        <f ca="1">'Calc (LRMC Slow Rate)'!$B$2</f>
        <v>Calc (LRMC Slow Rate)</v>
      </c>
      <c r="B361" s="145"/>
      <c r="C361" s="104" t="s">
        <v>17</v>
      </c>
      <c r="D361" s="112"/>
      <c r="E361" s="112"/>
      <c r="F361" s="116"/>
      <c r="G361" s="110"/>
      <c r="H361" s="110"/>
      <c r="I361" s="116"/>
    </row>
    <row r="362" spans="1:14" s="104" customFormat="1" hidden="1" x14ac:dyDescent="0.3">
      <c r="A362" s="104" t="str">
        <f ca="1">'Calc (Market Planning Case)'!$B$2</f>
        <v>Calc (Market Planning Case)</v>
      </c>
      <c r="B362" s="145"/>
      <c r="C362" s="104" t="s">
        <v>17</v>
      </c>
      <c r="D362" s="112"/>
      <c r="E362" s="112"/>
      <c r="F362" s="116"/>
      <c r="G362" s="110"/>
      <c r="H362" s="110"/>
      <c r="I362" s="116"/>
    </row>
    <row r="363" spans="1:14" s="104" customFormat="1" hidden="1" x14ac:dyDescent="0.3">
      <c r="A363" s="104" t="str">
        <f ca="1">'Calc (Market Slow Rate)'!$B$2</f>
        <v>Calc (Market Slow Rate)</v>
      </c>
      <c r="B363" s="145"/>
      <c r="C363" s="104" t="s">
        <v>17</v>
      </c>
      <c r="D363" s="112"/>
      <c r="E363" s="112"/>
      <c r="F363" s="116"/>
      <c r="G363" s="110"/>
      <c r="H363" s="110"/>
      <c r="I363" s="116"/>
    </row>
    <row r="364" spans="1:14" s="104" customFormat="1" hidden="1" x14ac:dyDescent="0.3">
      <c r="A364" s="54"/>
      <c r="B364" s="112"/>
      <c r="C364" s="112"/>
      <c r="D364" s="112"/>
      <c r="E364" s="112"/>
      <c r="F364" s="112"/>
      <c r="G364" s="112"/>
      <c r="H364" s="112"/>
      <c r="I364" s="112"/>
      <c r="J364" s="112"/>
      <c r="K364" s="112"/>
    </row>
    <row r="365" spans="1:14" s="104" customFormat="1" hidden="1" x14ac:dyDescent="0.3">
      <c r="A365" s="109" t="str">
        <f>Scheme2</f>
        <v>Blank</v>
      </c>
    </row>
    <row r="366" spans="1:14" s="104" customFormat="1" hidden="1" x14ac:dyDescent="0.3">
      <c r="A366" s="54" t="str">
        <f>Dist1</f>
        <v xml:space="preserve">Ausgrid </v>
      </c>
      <c r="B366" s="112"/>
      <c r="D366" s="112"/>
      <c r="E366" s="112"/>
      <c r="F366" s="116"/>
      <c r="G366" s="116"/>
      <c r="H366" s="116"/>
      <c r="I366" s="116"/>
      <c r="J366" s="116"/>
    </row>
    <row r="367" spans="1:14" s="104" customFormat="1" hidden="1" x14ac:dyDescent="0.3">
      <c r="A367" s="104" t="str">
        <f ca="1">A359</f>
        <v>Calc (Jurisdiction)</v>
      </c>
      <c r="B367" s="145"/>
      <c r="C367" s="104" t="s">
        <v>17</v>
      </c>
      <c r="D367" s="112"/>
      <c r="E367" s="112"/>
      <c r="F367" s="116"/>
      <c r="G367" s="146"/>
      <c r="H367" s="146"/>
      <c r="I367" s="116"/>
      <c r="J367" s="116"/>
    </row>
    <row r="368" spans="1:14" s="104" customFormat="1" hidden="1" x14ac:dyDescent="0.3">
      <c r="A368" s="104" t="str">
        <f t="shared" ref="A368:A371" ca="1" si="35">A360</f>
        <v>Calc (LRMC Planning case)</v>
      </c>
      <c r="B368" s="145"/>
      <c r="C368" s="104" t="s">
        <v>17</v>
      </c>
      <c r="D368" s="112"/>
      <c r="E368" s="112"/>
      <c r="F368" s="116"/>
      <c r="G368" s="110"/>
      <c r="H368" s="110"/>
      <c r="I368" s="116"/>
      <c r="J368" s="116"/>
    </row>
    <row r="369" spans="1:14" s="104" customFormat="1" hidden="1" x14ac:dyDescent="0.3">
      <c r="A369" s="104" t="str">
        <f t="shared" ca="1" si="35"/>
        <v>Calc (LRMC Slow Rate)</v>
      </c>
      <c r="B369" s="145"/>
      <c r="C369" s="104" t="s">
        <v>17</v>
      </c>
      <c r="D369" s="112"/>
      <c r="E369" s="112"/>
      <c r="F369" s="116"/>
      <c r="G369" s="110"/>
      <c r="H369" s="110"/>
      <c r="I369" s="116"/>
      <c r="J369" s="116"/>
    </row>
    <row r="370" spans="1:14" s="104" customFormat="1" hidden="1" x14ac:dyDescent="0.3">
      <c r="A370" s="104" t="str">
        <f t="shared" ca="1" si="35"/>
        <v>Calc (Market Planning Case)</v>
      </c>
      <c r="B370" s="145"/>
      <c r="C370" s="104" t="s">
        <v>17</v>
      </c>
      <c r="D370" s="112"/>
      <c r="E370" s="112"/>
      <c r="F370" s="116"/>
      <c r="G370" s="110"/>
      <c r="H370" s="110"/>
      <c r="I370" s="116"/>
      <c r="J370" s="116"/>
    </row>
    <row r="371" spans="1:14" s="104" customFormat="1" hidden="1" x14ac:dyDescent="0.3">
      <c r="A371" s="104" t="str">
        <f t="shared" ca="1" si="35"/>
        <v>Calc (Market Slow Rate)</v>
      </c>
      <c r="B371" s="145"/>
      <c r="C371" s="104" t="s">
        <v>17</v>
      </c>
      <c r="D371" s="112"/>
      <c r="E371" s="112"/>
      <c r="F371" s="116"/>
      <c r="G371" s="110"/>
      <c r="H371" s="110"/>
      <c r="I371" s="116"/>
      <c r="J371" s="116"/>
    </row>
    <row r="372" spans="1:14" s="104" customFormat="1" hidden="1" x14ac:dyDescent="0.3">
      <c r="A372" s="54"/>
      <c r="B372" s="112"/>
      <c r="C372" s="112"/>
      <c r="D372" s="112"/>
      <c r="E372" s="112"/>
      <c r="F372" s="116"/>
      <c r="G372" s="116"/>
      <c r="H372" s="116"/>
      <c r="I372" s="116"/>
      <c r="J372" s="116"/>
    </row>
    <row r="373" spans="1:14" s="104" customFormat="1" hidden="1" x14ac:dyDescent="0.3">
      <c r="A373" s="54" t="str">
        <f>Dist2</f>
        <v>Essential</v>
      </c>
      <c r="B373" s="112"/>
      <c r="D373" s="112"/>
      <c r="E373" s="112"/>
      <c r="F373" s="116"/>
      <c r="G373" s="116"/>
      <c r="H373" s="116"/>
      <c r="I373" s="116"/>
    </row>
    <row r="374" spans="1:14" s="104" customFormat="1" hidden="1" x14ac:dyDescent="0.3">
      <c r="A374" s="104" t="str">
        <f ca="1">A367</f>
        <v>Calc (Jurisdiction)</v>
      </c>
      <c r="B374" s="145"/>
      <c r="C374" s="104" t="s">
        <v>17</v>
      </c>
      <c r="D374" s="112"/>
      <c r="E374" s="112"/>
      <c r="F374" s="116"/>
      <c r="G374" s="146"/>
      <c r="H374" s="146"/>
      <c r="I374" s="116"/>
    </row>
    <row r="375" spans="1:14" s="104" customFormat="1" hidden="1" x14ac:dyDescent="0.3">
      <c r="A375" s="104" t="str">
        <f ca="1">'Calc (LRMC Planning case)'!$B$2</f>
        <v>Calc (LRMC Planning case)</v>
      </c>
      <c r="B375" s="145"/>
      <c r="C375" s="104" t="s">
        <v>17</v>
      </c>
      <c r="D375" s="112"/>
      <c r="E375" s="112"/>
      <c r="F375" s="116"/>
      <c r="G375" s="110"/>
      <c r="H375" s="110"/>
      <c r="I375" s="116"/>
    </row>
    <row r="376" spans="1:14" s="104" customFormat="1" hidden="1" x14ac:dyDescent="0.3">
      <c r="A376" s="104" t="str">
        <f ca="1">'Calc (LRMC Slow Rate)'!$B$2</f>
        <v>Calc (LRMC Slow Rate)</v>
      </c>
      <c r="B376" s="145"/>
      <c r="C376" s="104" t="s">
        <v>17</v>
      </c>
      <c r="D376" s="112"/>
      <c r="E376" s="112"/>
      <c r="F376" s="116"/>
      <c r="G376" s="110"/>
      <c r="H376" s="110"/>
      <c r="I376" s="116"/>
    </row>
    <row r="377" spans="1:14" s="104" customFormat="1" hidden="1" x14ac:dyDescent="0.3">
      <c r="A377" s="104" t="str">
        <f ca="1">'Calc (Market Planning Case)'!$B$2</f>
        <v>Calc (Market Planning Case)</v>
      </c>
      <c r="B377" s="145"/>
      <c r="C377" s="104" t="s">
        <v>17</v>
      </c>
      <c r="D377" s="112"/>
      <c r="E377" s="112"/>
      <c r="F377" s="116"/>
      <c r="G377" s="110"/>
      <c r="H377" s="110"/>
      <c r="I377" s="116"/>
    </row>
    <row r="378" spans="1:14" s="104" customFormat="1" hidden="1" x14ac:dyDescent="0.3">
      <c r="A378" s="104" t="str">
        <f ca="1">'Calc (Market Slow Rate)'!$B$2</f>
        <v>Calc (Market Slow Rate)</v>
      </c>
      <c r="B378" s="145"/>
      <c r="C378" s="104" t="s">
        <v>17</v>
      </c>
      <c r="D378" s="112"/>
      <c r="E378" s="112"/>
      <c r="F378" s="116"/>
      <c r="G378" s="110"/>
      <c r="H378" s="110"/>
      <c r="I378" s="116"/>
    </row>
    <row r="379" spans="1:14" s="104" customFormat="1" hidden="1" x14ac:dyDescent="0.3">
      <c r="A379" s="54"/>
      <c r="B379" s="112"/>
      <c r="C379" s="112"/>
      <c r="D379" s="112"/>
      <c r="E379" s="112"/>
      <c r="F379" s="116"/>
      <c r="G379" s="116"/>
      <c r="H379" s="116"/>
      <c r="I379" s="112"/>
      <c r="J379" s="112"/>
      <c r="K379" s="112"/>
      <c r="L379" s="112"/>
      <c r="M379" s="112"/>
      <c r="N379" s="112"/>
    </row>
    <row r="380" spans="1:14" s="104" customFormat="1" hidden="1" x14ac:dyDescent="0.3">
      <c r="A380" s="54" t="str">
        <f>Dist3</f>
        <v>Endeavour</v>
      </c>
      <c r="B380" s="112"/>
      <c r="D380" s="112"/>
      <c r="E380" s="112"/>
      <c r="F380" s="116"/>
      <c r="G380" s="116"/>
      <c r="H380" s="116"/>
      <c r="I380" s="116"/>
    </row>
    <row r="381" spans="1:14" s="104" customFormat="1" hidden="1" x14ac:dyDescent="0.3">
      <c r="A381" s="104" t="str">
        <f ca="1">A374</f>
        <v>Calc (Jurisdiction)</v>
      </c>
      <c r="B381" s="145"/>
      <c r="C381" s="104" t="s">
        <v>17</v>
      </c>
      <c r="D381" s="112"/>
      <c r="E381" s="112"/>
      <c r="F381" s="116"/>
      <c r="G381" s="146"/>
      <c r="H381" s="146"/>
      <c r="I381" s="116"/>
    </row>
    <row r="382" spans="1:14" s="104" customFormat="1" hidden="1" x14ac:dyDescent="0.3">
      <c r="A382" s="104" t="str">
        <f ca="1">'Calc (LRMC Planning case)'!$B$2</f>
        <v>Calc (LRMC Planning case)</v>
      </c>
      <c r="B382" s="145"/>
      <c r="C382" s="104" t="s">
        <v>17</v>
      </c>
      <c r="D382" s="112"/>
      <c r="E382" s="112"/>
      <c r="F382" s="116"/>
      <c r="G382" s="110"/>
      <c r="H382" s="110"/>
      <c r="I382" s="116"/>
    </row>
    <row r="383" spans="1:14" s="104" customFormat="1" hidden="1" x14ac:dyDescent="0.3">
      <c r="A383" s="104" t="str">
        <f ca="1">'Calc (LRMC Slow Rate)'!$B$2</f>
        <v>Calc (LRMC Slow Rate)</v>
      </c>
      <c r="B383" s="145"/>
      <c r="C383" s="104" t="s">
        <v>17</v>
      </c>
      <c r="D383" s="112"/>
      <c r="E383" s="112"/>
      <c r="F383" s="116"/>
      <c r="G383" s="110"/>
      <c r="H383" s="110"/>
      <c r="I383" s="116"/>
    </row>
    <row r="384" spans="1:14" s="104" customFormat="1" hidden="1" x14ac:dyDescent="0.3">
      <c r="A384" s="104" t="str">
        <f ca="1">'Calc (Market Planning Case)'!$B$2</f>
        <v>Calc (Market Planning Case)</v>
      </c>
      <c r="B384" s="145"/>
      <c r="C384" s="104" t="s">
        <v>17</v>
      </c>
      <c r="D384" s="112"/>
      <c r="E384" s="112"/>
      <c r="F384" s="116"/>
      <c r="G384" s="110"/>
      <c r="H384" s="110"/>
      <c r="I384" s="116"/>
    </row>
    <row r="385" spans="1:9" s="104" customFormat="1" hidden="1" x14ac:dyDescent="0.3">
      <c r="A385" s="104" t="str">
        <f ca="1">'Calc (Market Slow Rate)'!$B$2</f>
        <v>Calc (Market Slow Rate)</v>
      </c>
      <c r="B385" s="145"/>
      <c r="C385" s="104" t="s">
        <v>17</v>
      </c>
      <c r="D385" s="112"/>
      <c r="E385" s="112"/>
      <c r="F385" s="116"/>
      <c r="G385" s="110"/>
      <c r="H385" s="110"/>
      <c r="I385" s="116"/>
    </row>
    <row r="386" spans="1:9" s="104" customFormat="1" ht="14.25" customHeight="1" x14ac:dyDescent="0.3">
      <c r="A386" s="54"/>
      <c r="B386" s="51"/>
      <c r="C386" s="51"/>
      <c r="D386" s="51"/>
      <c r="E386" s="51"/>
      <c r="F386" s="53"/>
      <c r="G386" s="55"/>
      <c r="H386" s="55"/>
    </row>
    <row r="387" spans="1:9" s="35" customFormat="1" x14ac:dyDescent="0.3">
      <c r="A387" s="21" t="s">
        <v>30</v>
      </c>
      <c r="F387" s="53"/>
    </row>
    <row r="388" spans="1:9" s="35" customFormat="1" x14ac:dyDescent="0.3">
      <c r="A388" s="46" t="str">
        <f>"TUOS for "&amp;TNSP</f>
        <v>TUOS for Transgrid</v>
      </c>
    </row>
    <row r="389" spans="1:9" s="35" customFormat="1" x14ac:dyDescent="0.3">
      <c r="A389" s="54" t="str">
        <f>Dist1</f>
        <v xml:space="preserve">Ausgrid </v>
      </c>
    </row>
    <row r="390" spans="1:9" s="35" customFormat="1" x14ac:dyDescent="0.3">
      <c r="A390" s="35" t="s">
        <v>103</v>
      </c>
      <c r="B390" s="135" t="s">
        <v>141</v>
      </c>
      <c r="C390" s="137" t="s">
        <v>144</v>
      </c>
      <c r="D390" s="152">
        <v>0</v>
      </c>
      <c r="E390" s="152">
        <v>0</v>
      </c>
      <c r="F390" s="152">
        <v>0</v>
      </c>
      <c r="G390" s="144">
        <f>F390*(1+inflation)*(1-G396)/(1+G397)</f>
        <v>0</v>
      </c>
      <c r="H390" s="144">
        <f>G390*(1+inflation)*(1-H396)/(1+H397)</f>
        <v>0</v>
      </c>
    </row>
    <row r="391" spans="1:9" s="35" customFormat="1" x14ac:dyDescent="0.3">
      <c r="A391" s="35" t="s">
        <v>104</v>
      </c>
      <c r="B391" s="135" t="s">
        <v>141</v>
      </c>
      <c r="C391" s="137" t="s">
        <v>145</v>
      </c>
      <c r="D391" s="152">
        <v>1.50785E-3</v>
      </c>
      <c r="E391" s="152">
        <v>1.1330000000000005E-3</v>
      </c>
      <c r="F391" s="152">
        <v>2E-3</v>
      </c>
      <c r="G391" s="144">
        <f>F391*(1+inflation)*(1-G396)/(1+G397)</f>
        <v>2.1393330039525689E-3</v>
      </c>
      <c r="H391" s="144">
        <f>G391*(1+inflation)*(1-H396)/(1+H397)</f>
        <v>2.2883728509003613E-3</v>
      </c>
    </row>
    <row r="392" spans="1:9" s="35" customFormat="1" x14ac:dyDescent="0.3">
      <c r="A392" s="35" t="s">
        <v>105</v>
      </c>
      <c r="B392" s="135" t="s">
        <v>141</v>
      </c>
      <c r="C392" s="137" t="s">
        <v>145</v>
      </c>
      <c r="D392" s="152">
        <v>9.0733999999999995E-2</v>
      </c>
      <c r="E392" s="152">
        <v>0.11661762629558156</v>
      </c>
      <c r="F392" s="152">
        <v>0.12215578684758055</v>
      </c>
      <c r="G392" s="144">
        <f>F392*(1+inflation)*(1-G396)/(1+G397)</f>
        <v>0.13066595321341209</v>
      </c>
      <c r="H392" s="144">
        <f>G392*(1+inflation)*(1-H396)/(1+H397)</f>
        <v>0.13976899310118737</v>
      </c>
    </row>
    <row r="393" spans="1:9" s="35" customFormat="1" x14ac:dyDescent="0.3">
      <c r="A393" s="35" t="s">
        <v>32</v>
      </c>
      <c r="B393" s="135" t="s">
        <v>141</v>
      </c>
      <c r="C393" s="137" t="s">
        <v>145</v>
      </c>
      <c r="D393" s="152">
        <v>0</v>
      </c>
      <c r="E393" s="152">
        <v>0</v>
      </c>
      <c r="F393" s="152">
        <v>0.15499999999999931</v>
      </c>
      <c r="G393" s="144">
        <f>F393*(1+inflation)*(1-G396)/(1+G397)</f>
        <v>0.16579830780632335</v>
      </c>
      <c r="H393" s="144">
        <f>G393*(1+inflation)*(1-H396)/(1+H397)</f>
        <v>0.17734889594477721</v>
      </c>
    </row>
    <row r="394" spans="1:9" s="35" customFormat="1" x14ac:dyDescent="0.3">
      <c r="A394" s="35" t="s">
        <v>88</v>
      </c>
      <c r="B394" s="135" t="s">
        <v>141</v>
      </c>
      <c r="C394" s="137" t="s">
        <v>145</v>
      </c>
      <c r="D394" s="152">
        <v>0</v>
      </c>
      <c r="E394" s="152">
        <v>0</v>
      </c>
      <c r="F394" s="152">
        <v>0</v>
      </c>
      <c r="G394" s="143">
        <f>F394*(1+inflation)*(1-G396)/(1+G397)</f>
        <v>0</v>
      </c>
      <c r="H394" s="143">
        <f>G394*(1+inflation)*(1-H396)/(1+H397)</f>
        <v>0</v>
      </c>
    </row>
    <row r="395" spans="1:9" s="35" customFormat="1" x14ac:dyDescent="0.3"/>
    <row r="396" spans="1:9" s="35" customFormat="1" x14ac:dyDescent="0.3">
      <c r="A396" s="35" t="s">
        <v>33</v>
      </c>
      <c r="D396" s="126">
        <f>'Input Global'!D$40</f>
        <v>0</v>
      </c>
      <c r="E396" s="126">
        <f>'Input Global'!E40</f>
        <v>-5.6099999999999997E-2</v>
      </c>
      <c r="F396" s="126">
        <f>'Input Global'!F40</f>
        <v>-5.6099999999999997E-2</v>
      </c>
      <c r="G396" s="126">
        <f>'Input Global'!G40</f>
        <v>-5.6099999999999997E-2</v>
      </c>
      <c r="H396" s="126">
        <f>'Input Global'!H40</f>
        <v>-5.6099999999999997E-2</v>
      </c>
    </row>
    <row r="397" spans="1:9" s="35" customFormat="1" x14ac:dyDescent="0.3">
      <c r="A397" s="35" t="s">
        <v>34</v>
      </c>
      <c r="D397" s="127">
        <f>'Input Global'!D$47</f>
        <v>1.2E-2</v>
      </c>
      <c r="E397" s="127">
        <f>'Input Global'!E$47</f>
        <v>1.2E-2</v>
      </c>
      <c r="F397" s="127">
        <f>'Input Global'!F$47</f>
        <v>1.2E-2</v>
      </c>
      <c r="G397" s="127">
        <f>'Input Global'!G$47</f>
        <v>1.2E-2</v>
      </c>
      <c r="H397" s="127">
        <f>'Input Global'!H$47</f>
        <v>1.2E-2</v>
      </c>
    </row>
    <row r="398" spans="1:9" s="35" customFormat="1" x14ac:dyDescent="0.3"/>
    <row r="399" spans="1:9" s="35" customFormat="1" x14ac:dyDescent="0.3">
      <c r="A399" s="54" t="str">
        <f>Dist2</f>
        <v>Essential</v>
      </c>
    </row>
    <row r="400" spans="1:9" s="35" customFormat="1" x14ac:dyDescent="0.3">
      <c r="A400" s="35" t="str">
        <f>A390</f>
        <v>Supply charge (TUOS)</v>
      </c>
      <c r="B400" s="135" t="s">
        <v>141</v>
      </c>
      <c r="C400" s="137" t="s">
        <v>144</v>
      </c>
      <c r="D400" s="152">
        <v>0</v>
      </c>
      <c r="E400" s="152">
        <v>0</v>
      </c>
      <c r="F400" s="152">
        <v>0</v>
      </c>
      <c r="G400" s="144">
        <f>F400*(1+inflation)*(1-G406)/(1+G407)</f>
        <v>0</v>
      </c>
      <c r="H400" s="144">
        <f>G400*(1+inflation)*(1-H406)/(1+H407)</f>
        <v>0</v>
      </c>
      <c r="I400" s="42"/>
    </row>
    <row r="401" spans="1:8" s="35" customFormat="1" x14ac:dyDescent="0.3">
      <c r="A401" s="35" t="str">
        <f>A391</f>
        <v>TUOS (1st step)</v>
      </c>
      <c r="B401" s="135" t="s">
        <v>141</v>
      </c>
      <c r="C401" s="137" t="s">
        <v>145</v>
      </c>
      <c r="D401" s="152">
        <v>2.1191030893293696E-2</v>
      </c>
      <c r="E401" s="152">
        <v>2.5446E-2</v>
      </c>
      <c r="F401" s="152">
        <v>2.7676417132395836E-2</v>
      </c>
      <c r="G401" s="144">
        <f>F401*(1+inflation)*(1-G406)/(1+G407)</f>
        <v>2.9604536301246365E-2</v>
      </c>
      <c r="H401" s="144">
        <f>G401*(1+inflation)*(1-H406)/(1+H407)</f>
        <v>3.1666980787984134E-2</v>
      </c>
    </row>
    <row r="402" spans="1:8" s="35" customFormat="1" x14ac:dyDescent="0.3">
      <c r="A402" s="35" t="str">
        <f>A392</f>
        <v>TUOS (2nd step)</v>
      </c>
      <c r="B402" s="135" t="s">
        <v>141</v>
      </c>
      <c r="C402" s="137" t="s">
        <v>145</v>
      </c>
      <c r="D402" s="152">
        <v>0</v>
      </c>
      <c r="E402" s="152">
        <v>0</v>
      </c>
      <c r="F402" s="152">
        <v>0</v>
      </c>
      <c r="G402" s="144">
        <f>F402*(1+inflation)*(1-G406)/(1+G407)</f>
        <v>0</v>
      </c>
      <c r="H402" s="144">
        <f>G402*(1+inflation)*(1-H406)/(1+H407)</f>
        <v>0</v>
      </c>
    </row>
    <row r="403" spans="1:8" s="35" customFormat="1" x14ac:dyDescent="0.3">
      <c r="A403" s="35" t="str">
        <f>A393</f>
        <v>TUOS (3rd step)</v>
      </c>
      <c r="B403" s="135" t="s">
        <v>141</v>
      </c>
      <c r="C403" s="137" t="s">
        <v>145</v>
      </c>
      <c r="D403" s="152">
        <v>0</v>
      </c>
      <c r="E403" s="152">
        <v>0</v>
      </c>
      <c r="F403" s="152">
        <v>0</v>
      </c>
      <c r="G403" s="144">
        <f>F403*(1+inflation)*(1-G406)/(1+G407)</f>
        <v>0</v>
      </c>
      <c r="H403" s="144">
        <f>G403*(1+inflation)*(1-H406)/(1+H407)</f>
        <v>0</v>
      </c>
    </row>
    <row r="404" spans="1:8" s="35" customFormat="1" x14ac:dyDescent="0.3">
      <c r="A404" s="35" t="str">
        <f>A394</f>
        <v>TUOS (4th step)</v>
      </c>
      <c r="B404" s="135" t="s">
        <v>141</v>
      </c>
      <c r="C404" s="137" t="s">
        <v>145</v>
      </c>
      <c r="D404" s="152">
        <v>0</v>
      </c>
      <c r="E404" s="152">
        <v>0</v>
      </c>
      <c r="F404" s="152">
        <v>0</v>
      </c>
      <c r="G404" s="143">
        <f>F404*(1+inflation)*(1-G406)/(1+G407)</f>
        <v>0</v>
      </c>
      <c r="H404" s="143">
        <f>G404*(1+inflation)*(1-H406)/(1+H407)</f>
        <v>0</v>
      </c>
    </row>
    <row r="405" spans="1:8" s="35" customFormat="1" x14ac:dyDescent="0.3"/>
    <row r="406" spans="1:8" s="35" customFormat="1" x14ac:dyDescent="0.3">
      <c r="A406" s="35" t="s">
        <v>33</v>
      </c>
      <c r="D406" s="126">
        <f t="shared" ref="D406:H407" si="36">D396</f>
        <v>0</v>
      </c>
      <c r="E406" s="126">
        <f t="shared" si="36"/>
        <v>-5.6099999999999997E-2</v>
      </c>
      <c r="F406" s="126">
        <f t="shared" si="36"/>
        <v>-5.6099999999999997E-2</v>
      </c>
      <c r="G406" s="126">
        <f t="shared" si="36"/>
        <v>-5.6099999999999997E-2</v>
      </c>
      <c r="H406" s="126">
        <f t="shared" si="36"/>
        <v>-5.6099999999999997E-2</v>
      </c>
    </row>
    <row r="407" spans="1:8" s="35" customFormat="1" x14ac:dyDescent="0.3">
      <c r="A407" s="35" t="s">
        <v>34</v>
      </c>
      <c r="D407" s="127">
        <f t="shared" si="36"/>
        <v>1.2E-2</v>
      </c>
      <c r="E407" s="127">
        <f t="shared" si="36"/>
        <v>1.2E-2</v>
      </c>
      <c r="F407" s="127">
        <f t="shared" si="36"/>
        <v>1.2E-2</v>
      </c>
      <c r="G407" s="127">
        <f t="shared" si="36"/>
        <v>1.2E-2</v>
      </c>
      <c r="H407" s="127">
        <f t="shared" si="36"/>
        <v>1.2E-2</v>
      </c>
    </row>
    <row r="408" spans="1:8" s="35" customFormat="1" x14ac:dyDescent="0.3"/>
    <row r="409" spans="1:8" s="35" customFormat="1" x14ac:dyDescent="0.3">
      <c r="A409" s="54" t="str">
        <f>Dist3</f>
        <v>Endeavour</v>
      </c>
    </row>
    <row r="410" spans="1:8" s="35" customFormat="1" x14ac:dyDescent="0.3">
      <c r="A410" s="35" t="str">
        <f>A400</f>
        <v>Supply charge (TUOS)</v>
      </c>
      <c r="B410" s="135" t="s">
        <v>141</v>
      </c>
      <c r="C410" s="137" t="s">
        <v>144</v>
      </c>
      <c r="D410" s="152">
        <v>0</v>
      </c>
      <c r="E410" s="152">
        <v>0</v>
      </c>
      <c r="F410" s="152">
        <v>0</v>
      </c>
      <c r="G410" s="144">
        <f>F410*(1+inflation)*(1-G416)/(1+G417)</f>
        <v>0</v>
      </c>
      <c r="H410" s="144">
        <f>G410*(1+inflation)*(1-H416)/(1+H417)</f>
        <v>0</v>
      </c>
    </row>
    <row r="411" spans="1:8" s="35" customFormat="1" x14ac:dyDescent="0.3">
      <c r="A411" s="35" t="str">
        <f>A401</f>
        <v>TUOS (1st step)</v>
      </c>
      <c r="B411" s="135" t="s">
        <v>141</v>
      </c>
      <c r="C411" s="137" t="s">
        <v>145</v>
      </c>
      <c r="D411" s="152">
        <v>1.1618E-2</v>
      </c>
      <c r="E411" s="152">
        <v>9.247E-3</v>
      </c>
      <c r="F411" s="152">
        <v>7.7929999999999996E-3</v>
      </c>
      <c r="G411" s="144">
        <f>F411*(1+inflation)*(1-G416)/(1+G417)</f>
        <v>8.3359110499011835E-3</v>
      </c>
      <c r="H411" s="144">
        <f>G411*(1+inflation)*(1-H416)/(1+H417)</f>
        <v>8.916644813533256E-3</v>
      </c>
    </row>
    <row r="412" spans="1:8" s="35" customFormat="1" x14ac:dyDescent="0.3">
      <c r="A412" s="35" t="str">
        <f>A402</f>
        <v>TUOS (2nd step)</v>
      </c>
      <c r="B412" s="135" t="s">
        <v>141</v>
      </c>
      <c r="C412" s="137" t="s">
        <v>145</v>
      </c>
      <c r="D412" s="152">
        <v>1.5451999999999999E-2</v>
      </c>
      <c r="E412" s="152">
        <v>2.3857E-2</v>
      </c>
      <c r="F412" s="152">
        <v>3.5926E-2</v>
      </c>
      <c r="G412" s="144">
        <f>F412*(1+inflation)*(1-G416)/(1+G417)</f>
        <v>3.8428838749999993E-2</v>
      </c>
      <c r="H412" s="144">
        <f>G412*(1+inflation)*(1-H416)/(1+H417)</f>
        <v>4.1106041520723183E-2</v>
      </c>
    </row>
    <row r="413" spans="1:8" s="35" customFormat="1" x14ac:dyDescent="0.3">
      <c r="A413" s="35" t="str">
        <f>A403</f>
        <v>TUOS (3rd step)</v>
      </c>
      <c r="B413" s="135" t="s">
        <v>141</v>
      </c>
      <c r="C413" s="137" t="s">
        <v>145</v>
      </c>
      <c r="D413" s="152">
        <v>0</v>
      </c>
      <c r="E413" s="152">
        <v>0</v>
      </c>
      <c r="F413" s="152">
        <v>0</v>
      </c>
      <c r="G413" s="144">
        <f>F413*(1+inflation)*(1-G416)/(1+G417)</f>
        <v>0</v>
      </c>
      <c r="H413" s="144">
        <f>G413*(1+inflation)*(1-H416)/(1+H417)</f>
        <v>0</v>
      </c>
    </row>
    <row r="414" spans="1:8" s="35" customFormat="1" x14ac:dyDescent="0.3">
      <c r="A414" s="35" t="str">
        <f>A404</f>
        <v>TUOS (4th step)</v>
      </c>
      <c r="B414" s="135" t="s">
        <v>141</v>
      </c>
      <c r="C414" s="137" t="s">
        <v>145</v>
      </c>
      <c r="D414" s="152">
        <v>0</v>
      </c>
      <c r="E414" s="152">
        <v>0</v>
      </c>
      <c r="F414" s="152">
        <v>0</v>
      </c>
      <c r="G414" s="143">
        <f>F414*(1+inflation)*(1-G416)/(1+G417)</f>
        <v>0</v>
      </c>
      <c r="H414" s="143">
        <f>G414*(1+inflation)*(1-H416)/(1+H417)</f>
        <v>0</v>
      </c>
    </row>
    <row r="415" spans="1:8" s="35" customFormat="1" x14ac:dyDescent="0.3"/>
    <row r="416" spans="1:8" s="35" customFormat="1" x14ac:dyDescent="0.3">
      <c r="A416" s="35" t="s">
        <v>33</v>
      </c>
      <c r="D416" s="126">
        <f t="shared" ref="D416:H417" si="37">D406</f>
        <v>0</v>
      </c>
      <c r="E416" s="126">
        <f t="shared" si="37"/>
        <v>-5.6099999999999997E-2</v>
      </c>
      <c r="F416" s="126">
        <f t="shared" si="37"/>
        <v>-5.6099999999999997E-2</v>
      </c>
      <c r="G416" s="126">
        <f t="shared" si="37"/>
        <v>-5.6099999999999997E-2</v>
      </c>
      <c r="H416" s="126">
        <f t="shared" si="37"/>
        <v>-5.6099999999999997E-2</v>
      </c>
    </row>
    <row r="417" spans="1:8" s="35" customFormat="1" x14ac:dyDescent="0.3">
      <c r="A417" s="35" t="s">
        <v>34</v>
      </c>
      <c r="D417" s="127">
        <f t="shared" si="37"/>
        <v>1.2E-2</v>
      </c>
      <c r="E417" s="127">
        <f t="shared" si="37"/>
        <v>1.2E-2</v>
      </c>
      <c r="F417" s="127">
        <f t="shared" si="37"/>
        <v>1.2E-2</v>
      </c>
      <c r="G417" s="127">
        <f t="shared" si="37"/>
        <v>1.2E-2</v>
      </c>
      <c r="H417" s="127">
        <f t="shared" si="37"/>
        <v>1.2E-2</v>
      </c>
    </row>
    <row r="418" spans="1:8" s="35" customFormat="1" x14ac:dyDescent="0.3"/>
    <row r="419" spans="1:8" s="35" customFormat="1" x14ac:dyDescent="0.3">
      <c r="A419" s="46" t="s">
        <v>36</v>
      </c>
    </row>
    <row r="420" spans="1:8" s="35" customFormat="1" x14ac:dyDescent="0.3">
      <c r="A420" s="54" t="str">
        <f>Dist1</f>
        <v xml:space="preserve">Ausgrid </v>
      </c>
    </row>
    <row r="421" spans="1:8" s="35" customFormat="1" x14ac:dyDescent="0.3">
      <c r="A421" s="40" t="s">
        <v>72</v>
      </c>
      <c r="B421" s="135" t="s">
        <v>141</v>
      </c>
      <c r="C421" s="137" t="s">
        <v>144</v>
      </c>
      <c r="D421" s="152">
        <v>85.098289999999992</v>
      </c>
      <c r="E421" s="152">
        <v>103.05336999999999</v>
      </c>
      <c r="F421" s="152">
        <v>138.69999999999999</v>
      </c>
      <c r="G421" s="144">
        <f>F421*(1+inflation)*(1-G427)</f>
        <v>141.07281024999997</v>
      </c>
      <c r="H421" s="144">
        <f>G421*(1+inflation)*(1-H427)</f>
        <v>144.59963050624995</v>
      </c>
    </row>
    <row r="422" spans="1:8" s="35" customFormat="1" x14ac:dyDescent="0.3">
      <c r="A422" s="40" t="s">
        <v>77</v>
      </c>
      <c r="B422" s="135" t="s">
        <v>141</v>
      </c>
      <c r="C422" s="137" t="s">
        <v>145</v>
      </c>
      <c r="D422" s="152">
        <v>8.6612999999999996E-2</v>
      </c>
      <c r="E422" s="152">
        <v>0.10513703870667901</v>
      </c>
      <c r="F422" s="152">
        <v>0.124</v>
      </c>
      <c r="G422" s="144">
        <f>F422*(1+inflation)*(1-G427)</f>
        <v>0.12612132999999998</v>
      </c>
      <c r="H422" s="144">
        <f>G422*(1+inflation)*(1-H427)</f>
        <v>0.12927436324999997</v>
      </c>
    </row>
    <row r="423" spans="1:8" s="35" customFormat="1" x14ac:dyDescent="0.3">
      <c r="A423" s="40" t="s">
        <v>78</v>
      </c>
      <c r="B423" s="135" t="s">
        <v>141</v>
      </c>
      <c r="C423" s="137" t="s">
        <v>145</v>
      </c>
      <c r="D423" s="152">
        <v>4.6825999999999993E-2</v>
      </c>
      <c r="E423" s="152">
        <v>4.7431761965777447E-2</v>
      </c>
      <c r="F423" s="152">
        <v>2.7844213152419445E-2</v>
      </c>
      <c r="G423" s="144">
        <f>F423*(1+inflation)*(1-G427)</f>
        <v>2.8320558028924459E-2</v>
      </c>
      <c r="H423" s="144">
        <f>G423*(1+inflation)*(1-H427)</f>
        <v>2.9028571979647567E-2</v>
      </c>
    </row>
    <row r="424" spans="1:8" s="35" customFormat="1" x14ac:dyDescent="0.3">
      <c r="A424" s="40" t="s">
        <v>87</v>
      </c>
      <c r="B424" s="135" t="s">
        <v>141</v>
      </c>
      <c r="C424" s="137" t="s">
        <v>145</v>
      </c>
      <c r="D424" s="152">
        <v>0</v>
      </c>
      <c r="E424" s="152">
        <v>0</v>
      </c>
      <c r="F424" s="152">
        <v>3.500000000000069E-2</v>
      </c>
      <c r="G424" s="144">
        <f>F424*(1+inflation)*(1-G427)</f>
        <v>3.55987625000007E-2</v>
      </c>
      <c r="H424" s="144">
        <f>G424*(1+inflation)*(1-H427)</f>
        <v>3.6488731562500716E-2</v>
      </c>
    </row>
    <row r="425" spans="1:8" s="35" customFormat="1" x14ac:dyDescent="0.3">
      <c r="A425" s="40" t="s">
        <v>95</v>
      </c>
      <c r="B425" s="135" t="s">
        <v>141</v>
      </c>
      <c r="C425" s="137" t="s">
        <v>145</v>
      </c>
      <c r="D425" s="152">
        <v>0</v>
      </c>
      <c r="E425" s="152">
        <v>0</v>
      </c>
      <c r="F425" s="152">
        <v>0</v>
      </c>
      <c r="G425" s="143">
        <f>F425*(1+inflation)*(1-G427)</f>
        <v>0</v>
      </c>
      <c r="H425" s="143">
        <f>G425*(1+inflation)*(1-H427)</f>
        <v>0</v>
      </c>
    </row>
    <row r="426" spans="1:8" s="35" customFormat="1" x14ac:dyDescent="0.3"/>
    <row r="427" spans="1:8" s="35" customFormat="1" x14ac:dyDescent="0.3">
      <c r="A427" s="35" t="s">
        <v>33</v>
      </c>
      <c r="E427" s="127">
        <f>'Input Global'!E41</f>
        <v>-0.18179999999999999</v>
      </c>
      <c r="F427" s="127">
        <f>'Input Global'!F41</f>
        <v>-0.18179999999999999</v>
      </c>
      <c r="G427" s="127">
        <f>'Input Global'!G41</f>
        <v>7.7000000000000002E-3</v>
      </c>
      <c r="H427" s="127">
        <f>'Input Global'!H41</f>
        <v>0</v>
      </c>
    </row>
    <row r="428" spans="1:8" s="35" customFormat="1" x14ac:dyDescent="0.3"/>
    <row r="429" spans="1:8" s="35" customFormat="1" x14ac:dyDescent="0.3">
      <c r="A429" s="54" t="str">
        <f>Dist2</f>
        <v>Essential</v>
      </c>
    </row>
    <row r="430" spans="1:8" s="35" customFormat="1" x14ac:dyDescent="0.3">
      <c r="A430" s="40" t="str">
        <f>A421</f>
        <v>Supply charge (DUOS)</v>
      </c>
      <c r="B430" s="135" t="s">
        <v>141</v>
      </c>
      <c r="C430" s="137" t="s">
        <v>144</v>
      </c>
      <c r="D430" s="152">
        <v>200.71350000000001</v>
      </c>
      <c r="E430" s="152">
        <v>253.42080000000001</v>
      </c>
      <c r="F430" s="152">
        <v>313.32947711999998</v>
      </c>
      <c r="G430" s="144">
        <f>F430*(1+inflation)*(1-G436)</f>
        <v>308.34832175748471</v>
      </c>
      <c r="H430" s="144">
        <f>G430*(1+inflation)*(1-H436)</f>
        <v>316.05702980142178</v>
      </c>
    </row>
    <row r="431" spans="1:8" s="35" customFormat="1" x14ac:dyDescent="0.3">
      <c r="A431" s="40" t="str">
        <f>A422</f>
        <v>DUOS (1st step)</v>
      </c>
      <c r="B431" s="135" t="s">
        <v>141</v>
      </c>
      <c r="C431" s="137" t="s">
        <v>145</v>
      </c>
      <c r="D431" s="152">
        <v>0.10118226247731829</v>
      </c>
      <c r="E431" s="152">
        <v>0.122192</v>
      </c>
      <c r="F431" s="152">
        <v>0.14605536309430472</v>
      </c>
      <c r="G431" s="144">
        <f>F431*(1+inflation)*(1-G436)</f>
        <v>0.14373344795951298</v>
      </c>
      <c r="H431" s="144">
        <f>G431*(1+inflation)*(1-H436)</f>
        <v>0.14732678415850078</v>
      </c>
    </row>
    <row r="432" spans="1:8" s="35" customFormat="1" x14ac:dyDescent="0.3">
      <c r="A432" s="40" t="str">
        <f>A423</f>
        <v>DUOS (2nd step)</v>
      </c>
      <c r="B432" s="135" t="s">
        <v>141</v>
      </c>
      <c r="C432" s="137" t="s">
        <v>145</v>
      </c>
      <c r="D432" s="152">
        <v>0</v>
      </c>
      <c r="E432" s="152">
        <v>0</v>
      </c>
      <c r="F432" s="152">
        <v>0</v>
      </c>
      <c r="G432" s="144">
        <f>F432*(1+inflation)*(1-G436)</f>
        <v>0</v>
      </c>
      <c r="H432" s="144">
        <f>G432*(1+inflation)*(1-H436)</f>
        <v>0</v>
      </c>
    </row>
    <row r="433" spans="1:8" s="35" customFormat="1" x14ac:dyDescent="0.3">
      <c r="A433" s="40" t="str">
        <f>A424</f>
        <v>DUOS (3rd step)</v>
      </c>
      <c r="B433" s="135" t="s">
        <v>141</v>
      </c>
      <c r="C433" s="137" t="s">
        <v>145</v>
      </c>
      <c r="D433" s="152">
        <v>0</v>
      </c>
      <c r="E433" s="152">
        <v>0</v>
      </c>
      <c r="F433" s="152">
        <v>0</v>
      </c>
      <c r="G433" s="144">
        <f>F433*(1+inflation)*(1-G436)</f>
        <v>0</v>
      </c>
      <c r="H433" s="144">
        <f>G433*(1+inflation)*(1-H436)</f>
        <v>0</v>
      </c>
    </row>
    <row r="434" spans="1:8" s="35" customFormat="1" x14ac:dyDescent="0.3">
      <c r="A434" s="40" t="str">
        <f>A425</f>
        <v>DUOS (4th step)</v>
      </c>
      <c r="B434" s="135" t="s">
        <v>141</v>
      </c>
      <c r="C434" s="137" t="s">
        <v>145</v>
      </c>
      <c r="D434" s="152">
        <v>0</v>
      </c>
      <c r="E434" s="152">
        <v>0</v>
      </c>
      <c r="F434" s="152">
        <v>0</v>
      </c>
      <c r="G434" s="143">
        <f>F434*(1+inflation)*(1-G436)</f>
        <v>0</v>
      </c>
      <c r="H434" s="143">
        <f>G434*(1+inflation)*(1-H436)</f>
        <v>0</v>
      </c>
    </row>
    <row r="435" spans="1:8" s="35" customFormat="1" x14ac:dyDescent="0.3"/>
    <row r="436" spans="1:8" s="35" customFormat="1" x14ac:dyDescent="0.3">
      <c r="A436" s="35" t="s">
        <v>33</v>
      </c>
      <c r="E436" s="127">
        <f>'Input Global'!E42</f>
        <v>-0.17899999999999999</v>
      </c>
      <c r="F436" s="127">
        <f>'Input Global'!F42</f>
        <v>-0.14749999999999999</v>
      </c>
      <c r="G436" s="127">
        <f>'Input Global'!G42</f>
        <v>3.9899999999999998E-2</v>
      </c>
      <c r="H436" s="127">
        <f>'Input Global'!H42</f>
        <v>0</v>
      </c>
    </row>
    <row r="437" spans="1:8" s="35" customFormat="1" x14ac:dyDescent="0.3"/>
    <row r="438" spans="1:8" s="35" customFormat="1" x14ac:dyDescent="0.3">
      <c r="A438" s="54" t="str">
        <f>Dist3</f>
        <v>Endeavour</v>
      </c>
    </row>
    <row r="439" spans="1:8" s="35" customFormat="1" x14ac:dyDescent="0.3">
      <c r="A439" s="40" t="str">
        <f>A430</f>
        <v>Supply charge (DUOS)</v>
      </c>
      <c r="B439" s="135" t="s">
        <v>141</v>
      </c>
      <c r="C439" s="137" t="s">
        <v>144</v>
      </c>
      <c r="D439" s="152">
        <v>98.45</v>
      </c>
      <c r="E439" s="152">
        <v>113.46</v>
      </c>
      <c r="F439" s="152">
        <v>127.75</v>
      </c>
      <c r="G439" s="144">
        <f>F439*(1+inflation)*(1-G445)</f>
        <v>128.6915175</v>
      </c>
      <c r="H439" s="144">
        <f>G439*(1+inflation)*(1-H445)</f>
        <v>131.90880543749998</v>
      </c>
    </row>
    <row r="440" spans="1:8" s="35" customFormat="1" x14ac:dyDescent="0.3">
      <c r="A440" s="40" t="str">
        <f>A431</f>
        <v>DUOS (1st step)</v>
      </c>
      <c r="B440" s="135" t="s">
        <v>141</v>
      </c>
      <c r="C440" s="137" t="s">
        <v>145</v>
      </c>
      <c r="D440" s="152">
        <v>8.0963999999999994E-2</v>
      </c>
      <c r="E440" s="152">
        <v>9.5032999999999992E-2</v>
      </c>
      <c r="F440" s="152">
        <v>0.10004800000000001</v>
      </c>
      <c r="G440" s="144">
        <f>F440*(1+inflation)*(1-G445)</f>
        <v>0.10078535376</v>
      </c>
      <c r="H440" s="144">
        <f>G440*(1+inflation)*(1-H445)</f>
        <v>0.10330498760399999</v>
      </c>
    </row>
    <row r="441" spans="1:8" s="35" customFormat="1" x14ac:dyDescent="0.3">
      <c r="A441" s="40" t="str">
        <f>A432</f>
        <v>DUOS (2nd step)</v>
      </c>
      <c r="B441" s="135" t="s">
        <v>141</v>
      </c>
      <c r="C441" s="137" t="s">
        <v>145</v>
      </c>
      <c r="D441" s="152">
        <v>9.7251000000000004E-2</v>
      </c>
      <c r="E441" s="152">
        <v>0.11170300000000001</v>
      </c>
      <c r="F441" s="152">
        <v>0.10966200000000001</v>
      </c>
      <c r="G441" s="144">
        <f>F441*(1+inflation)*(1-G445)</f>
        <v>0.11047020894000001</v>
      </c>
      <c r="H441" s="144">
        <f>G441*(1+inflation)*(1-H445)</f>
        <v>0.1132319641635</v>
      </c>
    </row>
    <row r="442" spans="1:8" s="35" customFormat="1" x14ac:dyDescent="0.3">
      <c r="A442" s="40" t="str">
        <f>A433</f>
        <v>DUOS (3rd step)</v>
      </c>
      <c r="B442" s="135" t="s">
        <v>141</v>
      </c>
      <c r="C442" s="137" t="s">
        <v>145</v>
      </c>
      <c r="D442" s="152">
        <v>0</v>
      </c>
      <c r="E442" s="152">
        <v>0</v>
      </c>
      <c r="F442" s="152">
        <v>0</v>
      </c>
      <c r="G442" s="144">
        <f>F442*(1+inflation)*(1-G445)</f>
        <v>0</v>
      </c>
      <c r="H442" s="144">
        <f>G442*(1+inflation)*(1-H445)</f>
        <v>0</v>
      </c>
    </row>
    <row r="443" spans="1:8" s="35" customFormat="1" x14ac:dyDescent="0.3">
      <c r="A443" s="40" t="str">
        <f>A434</f>
        <v>DUOS (4th step)</v>
      </c>
      <c r="B443" s="135" t="s">
        <v>141</v>
      </c>
      <c r="C443" s="137" t="s">
        <v>145</v>
      </c>
      <c r="D443" s="152">
        <v>0</v>
      </c>
      <c r="E443" s="152">
        <v>0</v>
      </c>
      <c r="F443" s="152">
        <v>0</v>
      </c>
      <c r="G443" s="143">
        <f>F443*(1+inflation)*(1-G445)</f>
        <v>0</v>
      </c>
      <c r="H443" s="143">
        <f>G443*(1+inflation)*(1-H445)</f>
        <v>0</v>
      </c>
    </row>
    <row r="444" spans="1:8" s="35" customFormat="1" x14ac:dyDescent="0.3"/>
    <row r="445" spans="1:8" s="35" customFormat="1" x14ac:dyDescent="0.3">
      <c r="A445" s="35" t="s">
        <v>33</v>
      </c>
      <c r="E445" s="127">
        <f>'Input Global'!E43</f>
        <v>-0.13</v>
      </c>
      <c r="F445" s="127">
        <f>'Input Global'!F43</f>
        <v>-1.5E-3</v>
      </c>
      <c r="G445" s="127">
        <f>'Input Global'!G43</f>
        <v>1.72E-2</v>
      </c>
      <c r="H445" s="127">
        <f>'Input Global'!H43</f>
        <v>0</v>
      </c>
    </row>
    <row r="446" spans="1:8" s="35" customFormat="1" x14ac:dyDescent="0.3"/>
    <row r="447" spans="1:8" s="35" customFormat="1" x14ac:dyDescent="0.3">
      <c r="A447" s="46" t="s">
        <v>91</v>
      </c>
    </row>
    <row r="448" spans="1:8" s="35" customFormat="1" x14ac:dyDescent="0.3">
      <c r="A448" s="93" t="str">
        <f>Dist1</f>
        <v xml:space="preserve">Ausgrid </v>
      </c>
    </row>
    <row r="449" spans="1:8" s="35" customFormat="1" x14ac:dyDescent="0.3">
      <c r="A449" s="94" t="s">
        <v>92</v>
      </c>
      <c r="B449" s="135" t="s">
        <v>141</v>
      </c>
      <c r="C449" s="137" t="s">
        <v>146</v>
      </c>
      <c r="D449" s="141">
        <v>0</v>
      </c>
      <c r="E449" s="141">
        <v>0</v>
      </c>
      <c r="F449" s="141">
        <v>0</v>
      </c>
      <c r="G449" s="141">
        <v>0</v>
      </c>
      <c r="H449" s="141">
        <v>0</v>
      </c>
    </row>
    <row r="450" spans="1:8" s="35" customFormat="1" x14ac:dyDescent="0.3">
      <c r="A450" s="95" t="s">
        <v>93</v>
      </c>
      <c r="B450" s="135" t="s">
        <v>141</v>
      </c>
      <c r="C450" s="135" t="s">
        <v>147</v>
      </c>
      <c r="E450" s="153">
        <v>0</v>
      </c>
      <c r="F450" s="153">
        <v>0</v>
      </c>
      <c r="G450" s="153">
        <v>0</v>
      </c>
      <c r="H450" s="153">
        <v>0</v>
      </c>
    </row>
    <row r="451" spans="1:8" s="35" customFormat="1" x14ac:dyDescent="0.3">
      <c r="A451" s="96" t="str">
        <f>Dist2</f>
        <v>Essential</v>
      </c>
    </row>
    <row r="452" spans="1:8" s="35" customFormat="1" x14ac:dyDescent="0.3">
      <c r="A452" s="95" t="str">
        <f>A449</f>
        <v>Cost</v>
      </c>
      <c r="B452" s="135" t="s">
        <v>141</v>
      </c>
      <c r="C452" s="137" t="s">
        <v>146</v>
      </c>
      <c r="D452" s="141">
        <v>0</v>
      </c>
      <c r="E452" s="141">
        <v>0</v>
      </c>
      <c r="F452" s="141">
        <v>0</v>
      </c>
      <c r="G452" s="141">
        <v>0</v>
      </c>
      <c r="H452" s="141">
        <v>0</v>
      </c>
    </row>
    <row r="453" spans="1:8" s="35" customFormat="1" x14ac:dyDescent="0.3">
      <c r="A453" s="95" t="str">
        <f>A450</f>
        <v>Metering X factor</v>
      </c>
      <c r="B453" s="135" t="s">
        <v>141</v>
      </c>
      <c r="C453" s="135" t="s">
        <v>147</v>
      </c>
      <c r="D453" s="104"/>
      <c r="E453" s="153">
        <v>0</v>
      </c>
      <c r="F453" s="153">
        <v>0</v>
      </c>
      <c r="G453" s="153">
        <v>0</v>
      </c>
      <c r="H453" s="153">
        <v>0</v>
      </c>
    </row>
    <row r="454" spans="1:8" s="35" customFormat="1" x14ac:dyDescent="0.3">
      <c r="A454" s="96" t="str">
        <f>Dist3</f>
        <v>Endeavour</v>
      </c>
    </row>
    <row r="455" spans="1:8" s="35" customFormat="1" x14ac:dyDescent="0.3">
      <c r="A455" s="95" t="str">
        <f>A452</f>
        <v>Cost</v>
      </c>
      <c r="B455" s="135" t="s">
        <v>141</v>
      </c>
      <c r="C455" s="137" t="s">
        <v>146</v>
      </c>
      <c r="D455" s="141">
        <v>0</v>
      </c>
      <c r="E455" s="141">
        <v>0</v>
      </c>
      <c r="F455" s="141">
        <v>0</v>
      </c>
      <c r="G455" s="141">
        <v>0</v>
      </c>
      <c r="H455" s="141">
        <v>0</v>
      </c>
    </row>
    <row r="456" spans="1:8" s="35" customFormat="1" x14ac:dyDescent="0.3">
      <c r="A456" s="95" t="str">
        <f>A453</f>
        <v>Metering X factor</v>
      </c>
      <c r="B456" s="135" t="s">
        <v>141</v>
      </c>
      <c r="C456" s="135" t="s">
        <v>147</v>
      </c>
      <c r="D456" s="104"/>
      <c r="E456" s="153">
        <v>0</v>
      </c>
      <c r="F456" s="153">
        <v>0</v>
      </c>
      <c r="G456" s="153">
        <v>0</v>
      </c>
      <c r="H456" s="153">
        <v>0</v>
      </c>
    </row>
    <row r="457" spans="1:8" s="35" customFormat="1" x14ac:dyDescent="0.3">
      <c r="A457" s="46"/>
    </row>
    <row r="458" spans="1:8" s="35" customFormat="1" x14ac:dyDescent="0.3">
      <c r="A458" s="46" t="s">
        <v>76</v>
      </c>
    </row>
    <row r="459" spans="1:8" s="35" customFormat="1" x14ac:dyDescent="0.3">
      <c r="A459" s="54" t="str">
        <f>Dist1</f>
        <v xml:space="preserve">Ausgrid </v>
      </c>
    </row>
    <row r="460" spans="1:8" s="35" customFormat="1" x14ac:dyDescent="0.3">
      <c r="A460" s="35" t="s">
        <v>115</v>
      </c>
      <c r="B460" s="135" t="s">
        <v>141</v>
      </c>
      <c r="C460" s="137" t="s">
        <v>144</v>
      </c>
      <c r="D460" s="152">
        <v>0</v>
      </c>
      <c r="E460" s="152">
        <v>0</v>
      </c>
      <c r="F460" s="152">
        <v>0</v>
      </c>
      <c r="G460" s="142">
        <v>0</v>
      </c>
      <c r="H460" s="142">
        <v>0</v>
      </c>
    </row>
    <row r="461" spans="1:8" s="35" customFormat="1" x14ac:dyDescent="0.3">
      <c r="A461" s="35" t="s">
        <v>40</v>
      </c>
      <c r="B461" s="135" t="s">
        <v>141</v>
      </c>
      <c r="C461" s="137" t="s">
        <v>145</v>
      </c>
      <c r="D461" s="152">
        <v>1.7699999999999999E-3</v>
      </c>
      <c r="E461" s="152">
        <v>1.9817619657770697E-3</v>
      </c>
      <c r="F461" s="152">
        <v>0</v>
      </c>
      <c r="G461" s="143">
        <v>0</v>
      </c>
      <c r="H461" s="143">
        <v>0</v>
      </c>
    </row>
    <row r="462" spans="1:8" s="35" customFormat="1" x14ac:dyDescent="0.3">
      <c r="A462" s="35" t="s">
        <v>41</v>
      </c>
      <c r="B462" s="135" t="s">
        <v>141</v>
      </c>
      <c r="C462" s="137" t="s">
        <v>145</v>
      </c>
      <c r="D462" s="152">
        <v>1.7699999999999999E-3</v>
      </c>
      <c r="E462" s="152">
        <v>1.9817619657770697E-3</v>
      </c>
      <c r="F462" s="152">
        <v>0</v>
      </c>
      <c r="G462" s="143">
        <v>0</v>
      </c>
      <c r="H462" s="143">
        <v>0</v>
      </c>
    </row>
    <row r="463" spans="1:8" s="35" customFormat="1" x14ac:dyDescent="0.3">
      <c r="A463" s="35" t="s">
        <v>42</v>
      </c>
      <c r="B463" s="135" t="s">
        <v>141</v>
      </c>
      <c r="C463" s="137" t="s">
        <v>145</v>
      </c>
      <c r="D463" s="152">
        <v>0</v>
      </c>
      <c r="E463" s="152">
        <v>0</v>
      </c>
      <c r="F463" s="152">
        <v>3.5000000000000003E-2</v>
      </c>
      <c r="G463" s="143">
        <v>4.3203999999999999E-2</v>
      </c>
      <c r="H463" s="143">
        <v>4.3203999999999999E-2</v>
      </c>
    </row>
    <row r="464" spans="1:8" s="35" customFormat="1" x14ac:dyDescent="0.3">
      <c r="A464" s="35" t="s">
        <v>90</v>
      </c>
      <c r="B464" s="135" t="s">
        <v>141</v>
      </c>
      <c r="C464" s="137" t="s">
        <v>145</v>
      </c>
      <c r="D464" s="152">
        <v>0</v>
      </c>
      <c r="E464" s="152">
        <v>0</v>
      </c>
      <c r="F464" s="152">
        <v>0</v>
      </c>
      <c r="G464" s="143">
        <v>0</v>
      </c>
      <c r="H464" s="143">
        <v>0</v>
      </c>
    </row>
    <row r="465" spans="1:8" s="35" customFormat="1" x14ac:dyDescent="0.3">
      <c r="A465" s="54" t="str">
        <f>Dist2</f>
        <v>Essential</v>
      </c>
      <c r="G465" s="57"/>
      <c r="H465" s="57"/>
    </row>
    <row r="466" spans="1:8" s="35" customFormat="1" x14ac:dyDescent="0.3">
      <c r="A466" s="35" t="str">
        <f>A460</f>
        <v>Fixed</v>
      </c>
      <c r="B466" s="135" t="s">
        <v>141</v>
      </c>
      <c r="C466" s="137" t="s">
        <v>144</v>
      </c>
      <c r="D466" s="152">
        <v>0</v>
      </c>
      <c r="E466" s="152">
        <v>0</v>
      </c>
      <c r="F466" s="152">
        <v>0</v>
      </c>
      <c r="G466" s="142">
        <v>0</v>
      </c>
      <c r="H466" s="142">
        <v>0</v>
      </c>
    </row>
    <row r="467" spans="1:8" s="35" customFormat="1" x14ac:dyDescent="0.3">
      <c r="A467" s="35" t="str">
        <f>A461</f>
        <v>1st Step</v>
      </c>
      <c r="B467" s="135" t="s">
        <v>141</v>
      </c>
      <c r="C467" s="137" t="s">
        <v>145</v>
      </c>
      <c r="D467" s="152">
        <v>1.6792624773178753E-3</v>
      </c>
      <c r="E467" s="152">
        <v>1.794E-3</v>
      </c>
      <c r="F467" s="152">
        <v>3.2151758943047256E-3</v>
      </c>
      <c r="G467" s="143">
        <v>3.9688131239297535E-3</v>
      </c>
      <c r="H467" s="143">
        <v>3.9688131239297535E-3</v>
      </c>
    </row>
    <row r="468" spans="1:8" s="35" customFormat="1" x14ac:dyDescent="0.3">
      <c r="A468" s="35" t="str">
        <f>A462</f>
        <v>2nd Step</v>
      </c>
      <c r="B468" s="135" t="s">
        <v>141</v>
      </c>
      <c r="C468" s="137" t="s">
        <v>145</v>
      </c>
      <c r="D468" s="152">
        <v>0</v>
      </c>
      <c r="E468" s="152">
        <v>0</v>
      </c>
      <c r="F468" s="152">
        <v>0</v>
      </c>
      <c r="G468" s="143">
        <v>0</v>
      </c>
      <c r="H468" s="143">
        <v>0</v>
      </c>
    </row>
    <row r="469" spans="1:8" s="35" customFormat="1" x14ac:dyDescent="0.3">
      <c r="A469" s="35" t="str">
        <f>A463</f>
        <v>3rd Step</v>
      </c>
      <c r="B469" s="135" t="s">
        <v>141</v>
      </c>
      <c r="C469" s="137" t="s">
        <v>145</v>
      </c>
      <c r="D469" s="152">
        <v>0</v>
      </c>
      <c r="E469" s="152">
        <v>0</v>
      </c>
      <c r="F469" s="152">
        <v>0</v>
      </c>
      <c r="G469" s="143">
        <v>0</v>
      </c>
      <c r="H469" s="143">
        <v>0</v>
      </c>
    </row>
    <row r="470" spans="1:8" s="35" customFormat="1" x14ac:dyDescent="0.3">
      <c r="A470" s="35" t="str">
        <f>A464</f>
        <v>4th Step</v>
      </c>
      <c r="B470" s="135" t="s">
        <v>141</v>
      </c>
      <c r="C470" s="137" t="s">
        <v>145</v>
      </c>
      <c r="D470" s="152">
        <v>0</v>
      </c>
      <c r="E470" s="152">
        <v>0</v>
      </c>
      <c r="F470" s="152">
        <v>0</v>
      </c>
      <c r="G470" s="143">
        <v>0</v>
      </c>
      <c r="H470" s="143">
        <v>0</v>
      </c>
    </row>
    <row r="471" spans="1:8" s="35" customFormat="1" x14ac:dyDescent="0.3">
      <c r="A471" s="54" t="str">
        <f>Dist3</f>
        <v>Endeavour</v>
      </c>
      <c r="D471" s="49"/>
      <c r="E471" s="49"/>
      <c r="F471" s="49"/>
      <c r="G471" s="57"/>
      <c r="H471" s="57"/>
    </row>
    <row r="472" spans="1:8" s="35" customFormat="1" x14ac:dyDescent="0.3">
      <c r="A472" s="35" t="str">
        <f>A466</f>
        <v>Fixed</v>
      </c>
      <c r="B472" s="135" t="s">
        <v>141</v>
      </c>
      <c r="C472" s="137" t="s">
        <v>144</v>
      </c>
      <c r="D472" s="152">
        <v>0</v>
      </c>
      <c r="E472" s="152">
        <v>0</v>
      </c>
      <c r="F472" s="152">
        <v>0</v>
      </c>
      <c r="G472" s="142">
        <v>0</v>
      </c>
      <c r="H472" s="142">
        <v>0</v>
      </c>
    </row>
    <row r="473" spans="1:8" s="35" customFormat="1" x14ac:dyDescent="0.3">
      <c r="A473" s="35" t="str">
        <f>A467</f>
        <v>1st Step</v>
      </c>
      <c r="B473" s="135" t="s">
        <v>141</v>
      </c>
      <c r="C473" s="137" t="s">
        <v>145</v>
      </c>
      <c r="D473" s="152">
        <v>2.2780000000000001E-3</v>
      </c>
      <c r="E473" s="152">
        <v>2.294E-3</v>
      </c>
      <c r="F473" s="152">
        <v>3.9219999999999998E-2</v>
      </c>
      <c r="G473" s="143">
        <v>4.8413167999999993E-2</v>
      </c>
      <c r="H473" s="143">
        <v>4.8413167999999993E-2</v>
      </c>
    </row>
    <row r="474" spans="1:8" s="35" customFormat="1" x14ac:dyDescent="0.3">
      <c r="A474" s="35" t="str">
        <f>A468</f>
        <v>2nd Step</v>
      </c>
      <c r="B474" s="135" t="s">
        <v>141</v>
      </c>
      <c r="C474" s="137" t="s">
        <v>145</v>
      </c>
      <c r="D474" s="152">
        <v>2.2780000000000001E-3</v>
      </c>
      <c r="E474" s="152">
        <v>2.2950000000000002E-3</v>
      </c>
      <c r="F474" s="152">
        <v>3.9219999999999998E-2</v>
      </c>
      <c r="G474" s="143">
        <v>4.8413167999999993E-2</v>
      </c>
      <c r="H474" s="143">
        <v>4.8413167999999993E-2</v>
      </c>
    </row>
    <row r="475" spans="1:8" s="35" customFormat="1" x14ac:dyDescent="0.3">
      <c r="A475" s="35" t="str">
        <f>A469</f>
        <v>3rd Step</v>
      </c>
      <c r="B475" s="135" t="s">
        <v>141</v>
      </c>
      <c r="C475" s="137" t="s">
        <v>145</v>
      </c>
      <c r="D475" s="152">
        <v>0</v>
      </c>
      <c r="E475" s="152">
        <v>0</v>
      </c>
      <c r="F475" s="152">
        <v>0</v>
      </c>
      <c r="G475" s="143">
        <v>0</v>
      </c>
      <c r="H475" s="143">
        <v>0</v>
      </c>
    </row>
    <row r="476" spans="1:8" s="35" customFormat="1" x14ac:dyDescent="0.3">
      <c r="A476" s="35" t="str">
        <f>A470</f>
        <v>4th Step</v>
      </c>
      <c r="B476" s="135" t="s">
        <v>141</v>
      </c>
      <c r="C476" s="137" t="s">
        <v>145</v>
      </c>
      <c r="D476" s="152">
        <v>0</v>
      </c>
      <c r="E476" s="152">
        <v>0</v>
      </c>
      <c r="F476" s="152">
        <v>0</v>
      </c>
      <c r="G476" s="143">
        <v>0</v>
      </c>
      <c r="H476" s="143">
        <v>0</v>
      </c>
    </row>
    <row r="477" spans="1:8" s="35" customFormat="1" x14ac:dyDescent="0.3">
      <c r="A477" s="58"/>
      <c r="C477" s="40"/>
      <c r="D477" s="40"/>
      <c r="E477" s="40"/>
      <c r="F477" s="40"/>
    </row>
    <row r="478" spans="1:8" s="35" customFormat="1" x14ac:dyDescent="0.3">
      <c r="A478" s="46" t="s">
        <v>39</v>
      </c>
    </row>
    <row r="479" spans="1:8" s="35" customFormat="1" x14ac:dyDescent="0.3">
      <c r="A479" s="54" t="str">
        <f>Dist1</f>
        <v xml:space="preserve">Ausgrid </v>
      </c>
    </row>
    <row r="480" spans="1:8" s="35" customFormat="1" x14ac:dyDescent="0.3">
      <c r="A480" s="35" t="s">
        <v>25</v>
      </c>
      <c r="B480" s="135" t="s">
        <v>141</v>
      </c>
      <c r="C480" s="137" t="s">
        <v>79</v>
      </c>
      <c r="D480" s="140">
        <v>3992.2956077372551</v>
      </c>
      <c r="E480" s="139">
        <v>3992.2956077372551</v>
      </c>
      <c r="F480" s="154">
        <v>3182.446506037968</v>
      </c>
      <c r="G480" s="155">
        <f>F480</f>
        <v>3182.446506037968</v>
      </c>
      <c r="H480" s="155">
        <f>G480</f>
        <v>3182.446506037968</v>
      </c>
    </row>
    <row r="481" spans="1:8" s="35" customFormat="1" x14ac:dyDescent="0.3">
      <c r="A481" s="35" t="s">
        <v>26</v>
      </c>
      <c r="B481" s="135" t="s">
        <v>141</v>
      </c>
      <c r="C481" s="137" t="s">
        <v>79</v>
      </c>
      <c r="D481" s="140">
        <v>1007.704392262745</v>
      </c>
      <c r="E481" s="139">
        <v>1007.704392262745</v>
      </c>
      <c r="F481" s="154">
        <v>1257.1363444620324</v>
      </c>
      <c r="G481" s="155">
        <f t="shared" ref="G481:H483" si="38">F481</f>
        <v>1257.1363444620324</v>
      </c>
      <c r="H481" s="155">
        <f t="shared" si="38"/>
        <v>1257.1363444620324</v>
      </c>
    </row>
    <row r="482" spans="1:8" s="35" customFormat="1" x14ac:dyDescent="0.3">
      <c r="A482" s="35" t="s">
        <v>27</v>
      </c>
      <c r="B482" s="135" t="s">
        <v>141</v>
      </c>
      <c r="C482" s="137" t="s">
        <v>79</v>
      </c>
      <c r="D482" s="140">
        <v>0</v>
      </c>
      <c r="E482" s="139">
        <v>0</v>
      </c>
      <c r="F482" s="154">
        <v>560.41714950000005</v>
      </c>
      <c r="G482" s="155">
        <f t="shared" si="38"/>
        <v>560.41714950000005</v>
      </c>
      <c r="H482" s="155">
        <f t="shared" si="38"/>
        <v>560.41714950000005</v>
      </c>
    </row>
    <row r="483" spans="1:8" s="35" customFormat="1" x14ac:dyDescent="0.3">
      <c r="A483" s="35" t="s">
        <v>89</v>
      </c>
      <c r="B483" s="135" t="s">
        <v>141</v>
      </c>
      <c r="C483" s="137" t="s">
        <v>79</v>
      </c>
      <c r="D483" s="140">
        <v>0</v>
      </c>
      <c r="E483" s="139">
        <v>0</v>
      </c>
      <c r="F483" s="154">
        <v>0</v>
      </c>
      <c r="G483" s="155">
        <f t="shared" si="38"/>
        <v>0</v>
      </c>
      <c r="H483" s="155">
        <f t="shared" si="38"/>
        <v>0</v>
      </c>
    </row>
    <row r="484" spans="1:8" s="35" customFormat="1" x14ac:dyDescent="0.3">
      <c r="A484" s="35" t="s">
        <v>61</v>
      </c>
      <c r="C484" s="137" t="s">
        <v>79</v>
      </c>
      <c r="D484" s="82">
        <f>SUM(D480:D483)</f>
        <v>5000</v>
      </c>
      <c r="E484" s="82">
        <f t="shared" ref="E484:H484" si="39">SUM(E480:E483)</f>
        <v>5000</v>
      </c>
      <c r="F484" s="82">
        <f t="shared" si="39"/>
        <v>5000.0000000000009</v>
      </c>
      <c r="G484" s="82">
        <f t="shared" si="39"/>
        <v>5000.0000000000009</v>
      </c>
      <c r="H484" s="82">
        <f t="shared" si="39"/>
        <v>5000.0000000000009</v>
      </c>
    </row>
    <row r="485" spans="1:8" s="35" customFormat="1" x14ac:dyDescent="0.3"/>
    <row r="486" spans="1:8" s="35" customFormat="1" x14ac:dyDescent="0.3">
      <c r="A486" s="54" t="str">
        <f>Dist2</f>
        <v>Essential</v>
      </c>
    </row>
    <row r="487" spans="1:8" s="35" customFormat="1" x14ac:dyDescent="0.3">
      <c r="A487" s="35" t="str">
        <f>A480</f>
        <v>Block 1</v>
      </c>
      <c r="B487" s="135" t="s">
        <v>141</v>
      </c>
      <c r="C487" s="137" t="s">
        <v>79</v>
      </c>
      <c r="D487" s="140">
        <v>5000</v>
      </c>
      <c r="E487" s="139">
        <v>5000</v>
      </c>
      <c r="F487" s="154">
        <v>5000</v>
      </c>
      <c r="G487" s="155">
        <f>F487</f>
        <v>5000</v>
      </c>
      <c r="H487" s="155">
        <f>G487</f>
        <v>5000</v>
      </c>
    </row>
    <row r="488" spans="1:8" s="35" customFormat="1" x14ac:dyDescent="0.3">
      <c r="A488" s="35" t="str">
        <f t="shared" ref="A488:A491" si="40">A481</f>
        <v>Block 2</v>
      </c>
      <c r="B488" s="135" t="s">
        <v>141</v>
      </c>
      <c r="C488" s="137" t="s">
        <v>79</v>
      </c>
      <c r="D488" s="140">
        <v>0</v>
      </c>
      <c r="E488" s="139">
        <v>0</v>
      </c>
      <c r="F488" s="154">
        <v>0</v>
      </c>
      <c r="G488" s="155">
        <f t="shared" ref="G488:G490" si="41">F488</f>
        <v>0</v>
      </c>
      <c r="H488" s="155">
        <f t="shared" ref="H488:H490" si="42">G488</f>
        <v>0</v>
      </c>
    </row>
    <row r="489" spans="1:8" s="35" customFormat="1" x14ac:dyDescent="0.3">
      <c r="A489" s="35" t="str">
        <f t="shared" si="40"/>
        <v>Block 3</v>
      </c>
      <c r="B489" s="135" t="s">
        <v>141</v>
      </c>
      <c r="C489" s="137" t="s">
        <v>79</v>
      </c>
      <c r="D489" s="140">
        <v>0</v>
      </c>
      <c r="E489" s="139">
        <v>0</v>
      </c>
      <c r="F489" s="154">
        <v>0</v>
      </c>
      <c r="G489" s="155">
        <f t="shared" si="41"/>
        <v>0</v>
      </c>
      <c r="H489" s="155">
        <f t="shared" si="42"/>
        <v>0</v>
      </c>
    </row>
    <row r="490" spans="1:8" s="35" customFormat="1" x14ac:dyDescent="0.3">
      <c r="A490" s="35" t="str">
        <f t="shared" si="40"/>
        <v>Block 4</v>
      </c>
      <c r="B490" s="135" t="s">
        <v>141</v>
      </c>
      <c r="C490" s="137" t="s">
        <v>79</v>
      </c>
      <c r="D490" s="140">
        <v>0</v>
      </c>
      <c r="E490" s="139">
        <v>0</v>
      </c>
      <c r="F490" s="154">
        <v>0</v>
      </c>
      <c r="G490" s="155">
        <f t="shared" si="41"/>
        <v>0</v>
      </c>
      <c r="H490" s="155">
        <f t="shared" si="42"/>
        <v>0</v>
      </c>
    </row>
    <row r="491" spans="1:8" s="35" customFormat="1" x14ac:dyDescent="0.3">
      <c r="A491" s="35" t="str">
        <f t="shared" si="40"/>
        <v>Total</v>
      </c>
      <c r="B491" s="104"/>
      <c r="C491" s="137" t="s">
        <v>79</v>
      </c>
      <c r="D491" s="107">
        <f>SUM(D487:D490)</f>
        <v>5000</v>
      </c>
      <c r="E491" s="107">
        <f t="shared" ref="E491:H491" si="43">SUM(E487:E490)</f>
        <v>5000</v>
      </c>
      <c r="F491" s="107">
        <f t="shared" si="43"/>
        <v>5000</v>
      </c>
      <c r="G491" s="107">
        <f t="shared" si="43"/>
        <v>5000</v>
      </c>
      <c r="H491" s="107">
        <f t="shared" si="43"/>
        <v>5000</v>
      </c>
    </row>
    <row r="492" spans="1:8" s="35" customFormat="1" x14ac:dyDescent="0.3"/>
    <row r="493" spans="1:8" s="35" customFormat="1" x14ac:dyDescent="0.3">
      <c r="A493" s="54" t="str">
        <f>Dist3</f>
        <v>Endeavour</v>
      </c>
    </row>
    <row r="494" spans="1:8" s="35" customFormat="1" x14ac:dyDescent="0.3">
      <c r="A494" s="35" t="str">
        <f>A487</f>
        <v>Block 1</v>
      </c>
      <c r="B494" s="135" t="s">
        <v>141</v>
      </c>
      <c r="C494" s="137" t="s">
        <v>79</v>
      </c>
      <c r="D494" s="140">
        <v>4629.1459384637037</v>
      </c>
      <c r="E494" s="139">
        <v>4629.1459384637037</v>
      </c>
      <c r="F494" s="154">
        <v>4629.1459384637037</v>
      </c>
      <c r="G494" s="155">
        <f>F494</f>
        <v>4629.1459384637037</v>
      </c>
      <c r="H494" s="155">
        <f>G494</f>
        <v>4629.1459384637037</v>
      </c>
    </row>
    <row r="495" spans="1:8" s="35" customFormat="1" x14ac:dyDescent="0.3">
      <c r="A495" s="35" t="str">
        <f t="shared" ref="A495:A498" si="44">A488</f>
        <v>Block 2</v>
      </c>
      <c r="B495" s="135" t="s">
        <v>141</v>
      </c>
      <c r="C495" s="137" t="s">
        <v>79</v>
      </c>
      <c r="D495" s="140">
        <v>1370.8540615362961</v>
      </c>
      <c r="E495" s="139">
        <v>1370.8540615362961</v>
      </c>
      <c r="F495" s="154">
        <v>1370.8540615362961</v>
      </c>
      <c r="G495" s="155">
        <f t="shared" ref="G495:G497" si="45">F495</f>
        <v>1370.8540615362961</v>
      </c>
      <c r="H495" s="155">
        <f t="shared" ref="H495:H497" si="46">G495</f>
        <v>1370.8540615362961</v>
      </c>
    </row>
    <row r="496" spans="1:8" s="35" customFormat="1" x14ac:dyDescent="0.3">
      <c r="A496" s="35" t="str">
        <f t="shared" si="44"/>
        <v>Block 3</v>
      </c>
      <c r="B496" s="135" t="s">
        <v>141</v>
      </c>
      <c r="C496" s="137" t="s">
        <v>79</v>
      </c>
      <c r="D496" s="140">
        <v>0</v>
      </c>
      <c r="E496" s="139">
        <v>0</v>
      </c>
      <c r="F496" s="154">
        <v>0</v>
      </c>
      <c r="G496" s="155">
        <f t="shared" si="45"/>
        <v>0</v>
      </c>
      <c r="H496" s="155">
        <f t="shared" si="46"/>
        <v>0</v>
      </c>
    </row>
    <row r="497" spans="1:8" s="35" customFormat="1" x14ac:dyDescent="0.3">
      <c r="A497" s="35" t="str">
        <f t="shared" si="44"/>
        <v>Block 4</v>
      </c>
      <c r="B497" s="135" t="s">
        <v>141</v>
      </c>
      <c r="C497" s="137" t="s">
        <v>79</v>
      </c>
      <c r="D497" s="140">
        <v>0</v>
      </c>
      <c r="E497" s="139">
        <v>0</v>
      </c>
      <c r="F497" s="154">
        <v>0</v>
      </c>
      <c r="G497" s="155">
        <f t="shared" si="45"/>
        <v>0</v>
      </c>
      <c r="H497" s="155">
        <f t="shared" si="46"/>
        <v>0</v>
      </c>
    </row>
    <row r="498" spans="1:8" s="35" customFormat="1" x14ac:dyDescent="0.3">
      <c r="A498" s="35" t="str">
        <f t="shared" si="44"/>
        <v>Total</v>
      </c>
      <c r="B498" s="104"/>
      <c r="C498" s="137" t="s">
        <v>79</v>
      </c>
      <c r="D498" s="107">
        <f>SUM(D494:D497)</f>
        <v>6000</v>
      </c>
      <c r="E498" s="107">
        <f t="shared" ref="E498:H498" si="47">SUM(E494:E497)</f>
        <v>6000</v>
      </c>
      <c r="F498" s="107">
        <f t="shared" si="47"/>
        <v>6000</v>
      </c>
      <c r="G498" s="107">
        <f t="shared" si="47"/>
        <v>6000</v>
      </c>
      <c r="H498" s="107">
        <f t="shared" si="47"/>
        <v>6000</v>
      </c>
    </row>
    <row r="499" spans="1:8" s="35" customFormat="1" x14ac:dyDescent="0.3"/>
    <row r="501" spans="1:8" x14ac:dyDescent="0.3">
      <c r="A501" s="21" t="str">
        <f ca="1">LEFT(B2,3) &amp; " Jurisdiction Data"</f>
        <v>Inp Jurisdiction Data</v>
      </c>
      <c r="B501" s="104"/>
      <c r="C501" s="104"/>
      <c r="D501" s="104"/>
      <c r="E501" s="104"/>
      <c r="F501" s="104"/>
      <c r="G501" s="104"/>
      <c r="H501" s="104"/>
    </row>
    <row r="502" spans="1:8" x14ac:dyDescent="0.3">
      <c r="A502" s="54" t="str">
        <f>Dist1</f>
        <v xml:space="preserve">Ausgrid </v>
      </c>
      <c r="B502" s="104"/>
      <c r="C502" s="104"/>
      <c r="D502" s="104"/>
      <c r="E502" s="104"/>
      <c r="F502" s="104"/>
      <c r="G502" s="104"/>
      <c r="H502" s="104"/>
    </row>
    <row r="503" spans="1:8" x14ac:dyDescent="0.3">
      <c r="A503" s="87" t="s">
        <v>70</v>
      </c>
      <c r="B503" s="105" t="s">
        <v>138</v>
      </c>
      <c r="C503" s="156" t="s">
        <v>148</v>
      </c>
      <c r="D503" s="157">
        <v>14.1</v>
      </c>
      <c r="E503" s="157">
        <v>14.1</v>
      </c>
      <c r="F503" s="162">
        <f>14.4*(1+inflation)</f>
        <v>14.76</v>
      </c>
      <c r="G503" s="119">
        <f>F503*(1+inflation)</f>
        <v>15.128999999999998</v>
      </c>
      <c r="H503" s="119">
        <f>G503*(1+inflation)</f>
        <v>15.507224999999996</v>
      </c>
    </row>
    <row r="504" spans="1:8" x14ac:dyDescent="0.3">
      <c r="A504" s="87" t="s">
        <v>106</v>
      </c>
      <c r="B504" s="105" t="s">
        <v>138</v>
      </c>
      <c r="C504" s="156" t="s">
        <v>148</v>
      </c>
      <c r="D504" s="157">
        <v>68.489999999999995</v>
      </c>
      <c r="E504" s="157">
        <v>67.66</v>
      </c>
      <c r="F504" s="163">
        <v>67.075999999999993</v>
      </c>
      <c r="G504" s="60"/>
      <c r="H504" s="61"/>
    </row>
    <row r="505" spans="1:8" x14ac:dyDescent="0.3">
      <c r="A505" s="87" t="s">
        <v>107</v>
      </c>
      <c r="B505" s="105" t="s">
        <v>138</v>
      </c>
      <c r="C505" s="156" t="s">
        <v>148</v>
      </c>
      <c r="D505" s="157">
        <v>5.08</v>
      </c>
      <c r="E505" s="157">
        <v>5.15</v>
      </c>
      <c r="F505" s="162">
        <f>6.33*(1+inflation)</f>
        <v>6.4882499999999999</v>
      </c>
      <c r="G505" s="62"/>
      <c r="H505" s="63"/>
    </row>
    <row r="506" spans="1:8" x14ac:dyDescent="0.3">
      <c r="A506" s="87" t="s">
        <v>124</v>
      </c>
      <c r="B506" s="105" t="s">
        <v>138</v>
      </c>
      <c r="C506" s="156" t="s">
        <v>148</v>
      </c>
      <c r="D506" s="157">
        <v>0.83</v>
      </c>
      <c r="E506" s="157">
        <v>0.83</v>
      </c>
      <c r="F506" s="163">
        <v>0.86823649999999986</v>
      </c>
      <c r="G506" s="62"/>
      <c r="H506" s="63"/>
    </row>
    <row r="507" spans="1:8" x14ac:dyDescent="0.3">
      <c r="A507" s="87" t="s">
        <v>108</v>
      </c>
      <c r="B507" s="105" t="s">
        <v>138</v>
      </c>
      <c r="C507" s="156" t="s">
        <v>148</v>
      </c>
      <c r="D507" s="158"/>
      <c r="E507" s="158"/>
      <c r="F507" s="163">
        <v>20.428249999999998</v>
      </c>
      <c r="G507" s="62"/>
      <c r="H507" s="63"/>
    </row>
    <row r="508" spans="1:8" x14ac:dyDescent="0.3">
      <c r="A508" s="87" t="s">
        <v>22</v>
      </c>
      <c r="B508" s="105" t="s">
        <v>138</v>
      </c>
      <c r="C508" s="156" t="s">
        <v>148</v>
      </c>
      <c r="D508" s="157">
        <v>1.84</v>
      </c>
      <c r="E508" s="157">
        <f>2.67*(1+inflation2012)</f>
        <v>2.7367499999999998</v>
      </c>
      <c r="F508" s="163">
        <v>4.5407499999999992</v>
      </c>
      <c r="G508" s="129"/>
      <c r="H508" s="130"/>
    </row>
    <row r="509" spans="1:8" x14ac:dyDescent="0.3">
      <c r="A509" s="87" t="s">
        <v>75</v>
      </c>
      <c r="B509" s="105" t="s">
        <v>138</v>
      </c>
      <c r="C509" s="156" t="s">
        <v>148</v>
      </c>
      <c r="D509" s="157">
        <v>0</v>
      </c>
      <c r="E509" s="157">
        <f>6.05 * (1+inflation2012)</f>
        <v>6.201249999999999</v>
      </c>
      <c r="F509" s="164">
        <v>5.5042499999999999</v>
      </c>
      <c r="G509" s="129"/>
      <c r="H509" s="130"/>
    </row>
    <row r="510" spans="1:8" x14ac:dyDescent="0.3">
      <c r="A510" s="64" t="str">
        <f>Scheme1</f>
        <v>Energy savings</v>
      </c>
      <c r="B510" s="105" t="s">
        <v>138</v>
      </c>
      <c r="C510" s="156" t="s">
        <v>148</v>
      </c>
      <c r="D510" s="160">
        <v>0.72</v>
      </c>
      <c r="E510" s="157">
        <f>1.09*(1+inflation2012)</f>
        <v>1.1172500000000001</v>
      </c>
      <c r="F510" s="165">
        <v>1.55</v>
      </c>
      <c r="G510" s="165"/>
      <c r="H510" s="165"/>
    </row>
    <row r="511" spans="1:8" x14ac:dyDescent="0.3">
      <c r="A511" s="58" t="str">
        <f>Scheme2</f>
        <v>Blank</v>
      </c>
      <c r="B511" s="105" t="s">
        <v>138</v>
      </c>
      <c r="C511" s="156" t="s">
        <v>148</v>
      </c>
      <c r="D511" s="159"/>
      <c r="E511" s="161"/>
      <c r="F511" s="161"/>
      <c r="G511" s="62"/>
      <c r="H511" s="63"/>
    </row>
    <row r="512" spans="1:8" x14ac:dyDescent="0.3">
      <c r="A512" s="104"/>
      <c r="B512" s="104"/>
      <c r="C512" s="104"/>
      <c r="D512" s="45"/>
      <c r="E512" s="63"/>
      <c r="F512" s="63"/>
      <c r="G512" s="63"/>
      <c r="H512" s="63"/>
    </row>
    <row r="513" spans="1:8" x14ac:dyDescent="0.3">
      <c r="A513" s="54" t="str">
        <f>Dist2</f>
        <v>Essential</v>
      </c>
      <c r="B513" s="104"/>
      <c r="C513" s="104"/>
      <c r="D513" s="104"/>
      <c r="E513" s="104"/>
      <c r="F513" s="104"/>
      <c r="G513" s="104"/>
      <c r="H513" s="104"/>
    </row>
    <row r="514" spans="1:8" x14ac:dyDescent="0.3">
      <c r="A514" s="40" t="str">
        <f>A503</f>
        <v>Retail operating Cost</v>
      </c>
      <c r="B514" s="105" t="s">
        <v>138</v>
      </c>
      <c r="C514" s="156" t="s">
        <v>73</v>
      </c>
      <c r="D514" s="157">
        <v>13.2</v>
      </c>
      <c r="E514" s="157">
        <v>14.3</v>
      </c>
      <c r="F514" s="162">
        <f>14.6*(1+inflation)</f>
        <v>14.964999999999998</v>
      </c>
      <c r="G514" s="166">
        <f t="shared" ref="G514" si="48">F514*(1+inflation)</f>
        <v>15.339124999999997</v>
      </c>
      <c r="H514" s="166">
        <f t="shared" ref="H514" si="49">G514*(1+inflation)</f>
        <v>15.722603124999996</v>
      </c>
    </row>
    <row r="515" spans="1:8" x14ac:dyDescent="0.3">
      <c r="A515" s="40" t="str">
        <f t="shared" ref="A515:A522" si="50">A504</f>
        <v>WEC</v>
      </c>
      <c r="B515" s="105" t="s">
        <v>138</v>
      </c>
      <c r="C515" s="156" t="s">
        <v>73</v>
      </c>
      <c r="D515" s="157">
        <v>63.75</v>
      </c>
      <c r="E515" s="157">
        <v>63.6</v>
      </c>
      <c r="F515" s="162">
        <v>63.765249999999988</v>
      </c>
      <c r="G515" s="131"/>
      <c r="H515" s="132"/>
    </row>
    <row r="516" spans="1:8" x14ac:dyDescent="0.3">
      <c r="A516" s="40" t="str">
        <f t="shared" si="50"/>
        <v xml:space="preserve">Losses </v>
      </c>
      <c r="B516" s="105" t="s">
        <v>138</v>
      </c>
      <c r="C516" s="156" t="s">
        <v>73</v>
      </c>
      <c r="D516" s="157">
        <v>8.01</v>
      </c>
      <c r="E516" s="157">
        <v>6.879999999999999</v>
      </c>
      <c r="F516" s="162">
        <f>9.71*(1+inflation)</f>
        <v>9.95275</v>
      </c>
      <c r="G516" s="129"/>
      <c r="H516" s="130"/>
    </row>
    <row r="517" spans="1:8" x14ac:dyDescent="0.3">
      <c r="A517" s="40" t="str">
        <f t="shared" si="50"/>
        <v>Market Fees</v>
      </c>
      <c r="B517" s="105" t="s">
        <v>138</v>
      </c>
      <c r="C517" s="156" t="s">
        <v>73</v>
      </c>
      <c r="D517" s="157">
        <v>0.82999999999999985</v>
      </c>
      <c r="E517" s="157">
        <v>0.82999999999999985</v>
      </c>
      <c r="F517" s="163">
        <v>0.86823649999999986</v>
      </c>
      <c r="G517" s="129"/>
      <c r="H517" s="130"/>
    </row>
    <row r="518" spans="1:8" x14ac:dyDescent="0.3">
      <c r="A518" s="40" t="str">
        <f t="shared" si="50"/>
        <v>Carbon</v>
      </c>
      <c r="B518" s="105" t="s">
        <v>138</v>
      </c>
      <c r="C518" s="156" t="s">
        <v>73</v>
      </c>
      <c r="D518" s="158"/>
      <c r="E518" s="158"/>
      <c r="F518" s="163">
        <v>20.335999999999999</v>
      </c>
      <c r="G518" s="129"/>
      <c r="H518" s="130"/>
    </row>
    <row r="519" spans="1:8" x14ac:dyDescent="0.3">
      <c r="A519" s="40" t="str">
        <f t="shared" si="50"/>
        <v>LRET</v>
      </c>
      <c r="B519" s="105" t="s">
        <v>138</v>
      </c>
      <c r="C519" s="156" t="s">
        <v>73</v>
      </c>
      <c r="D519" s="157">
        <v>1.8399999999999999</v>
      </c>
      <c r="E519" s="157">
        <f>2.65*(1+inflation2012)</f>
        <v>2.7162499999999996</v>
      </c>
      <c r="F519" s="163">
        <v>4.5510000000000002</v>
      </c>
      <c r="G519" s="129"/>
      <c r="H519" s="130"/>
    </row>
    <row r="520" spans="1:8" x14ac:dyDescent="0.3">
      <c r="A520" s="40" t="str">
        <f t="shared" si="50"/>
        <v>Small scale renewable energy scheme</v>
      </c>
      <c r="B520" s="105" t="s">
        <v>138</v>
      </c>
      <c r="C520" s="156" t="s">
        <v>73</v>
      </c>
      <c r="D520" s="157">
        <v>0</v>
      </c>
      <c r="E520" s="157">
        <f>6.15*(1+inflation2012)</f>
        <v>6.30375</v>
      </c>
      <c r="F520" s="163">
        <v>5.7502499999999994</v>
      </c>
      <c r="G520" s="129"/>
      <c r="H520" s="130"/>
    </row>
    <row r="521" spans="1:8" x14ac:dyDescent="0.3">
      <c r="A521" s="40" t="str">
        <f t="shared" si="50"/>
        <v>Energy savings</v>
      </c>
      <c r="B521" s="105" t="s">
        <v>138</v>
      </c>
      <c r="C521" s="156" t="s">
        <v>73</v>
      </c>
      <c r="D521" s="157">
        <v>0.72</v>
      </c>
      <c r="E521" s="157">
        <f>1.09*(1+inflation2012)</f>
        <v>1.1172500000000001</v>
      </c>
      <c r="F521" s="163">
        <v>1.54775</v>
      </c>
      <c r="G521" s="163"/>
      <c r="H521" s="163"/>
    </row>
    <row r="522" spans="1:8" x14ac:dyDescent="0.3">
      <c r="A522" s="40" t="str">
        <f t="shared" si="50"/>
        <v>Blank</v>
      </c>
      <c r="B522" s="105" t="s">
        <v>138</v>
      </c>
      <c r="C522" s="156" t="s">
        <v>73</v>
      </c>
      <c r="D522" s="136"/>
      <c r="E522" s="136"/>
      <c r="F522" s="136"/>
      <c r="G522" s="62"/>
      <c r="H522" s="63"/>
    </row>
    <row r="523" spans="1:8" x14ac:dyDescent="0.3">
      <c r="A523" s="58"/>
      <c r="B523" s="104"/>
      <c r="C523" s="63"/>
      <c r="D523" s="63"/>
      <c r="E523" s="63"/>
      <c r="F523" s="63"/>
      <c r="G523" s="63"/>
      <c r="H523" s="63"/>
    </row>
    <row r="524" spans="1:8" x14ac:dyDescent="0.3">
      <c r="A524" s="54" t="str">
        <f>Dist3</f>
        <v>Endeavour</v>
      </c>
      <c r="B524" s="104"/>
      <c r="C524" s="63"/>
      <c r="D524" s="63"/>
      <c r="E524" s="63"/>
      <c r="F524" s="63"/>
      <c r="G524" s="63"/>
      <c r="H524" s="63"/>
    </row>
    <row r="525" spans="1:8" x14ac:dyDescent="0.3">
      <c r="A525" s="40" t="str">
        <f>A514</f>
        <v>Retail operating Cost</v>
      </c>
      <c r="B525" s="105" t="s">
        <v>138</v>
      </c>
      <c r="C525" s="156" t="s">
        <v>73</v>
      </c>
      <c r="D525" s="157">
        <v>11.400000000000002</v>
      </c>
      <c r="E525" s="157">
        <v>13.2</v>
      </c>
      <c r="F525" s="157">
        <f>13.5*(1+inflation)</f>
        <v>13.837499999999999</v>
      </c>
      <c r="G525" s="166">
        <f t="shared" ref="G525" si="51">F525*(1+inflation)</f>
        <v>14.183437499999997</v>
      </c>
      <c r="H525" s="166">
        <f t="shared" ref="H525" si="52">G525*(1+inflation)</f>
        <v>14.538023437499994</v>
      </c>
    </row>
    <row r="526" spans="1:8" x14ac:dyDescent="0.3">
      <c r="A526" s="40" t="str">
        <f t="shared" ref="A526:A533" si="53">A515</f>
        <v>WEC</v>
      </c>
      <c r="B526" s="105" t="s">
        <v>138</v>
      </c>
      <c r="C526" s="156" t="s">
        <v>73</v>
      </c>
      <c r="D526" s="157">
        <v>70.69</v>
      </c>
      <c r="E526" s="157">
        <v>70.98</v>
      </c>
      <c r="F526" s="157">
        <v>71.104249999999993</v>
      </c>
      <c r="G526" s="131"/>
      <c r="H526" s="132"/>
    </row>
    <row r="527" spans="1:8" x14ac:dyDescent="0.3">
      <c r="A527" s="40" t="str">
        <f t="shared" si="53"/>
        <v xml:space="preserve">Losses </v>
      </c>
      <c r="B527" s="105" t="s">
        <v>138</v>
      </c>
      <c r="C527" s="156" t="s">
        <v>73</v>
      </c>
      <c r="D527" s="157">
        <v>6.3900000000000006</v>
      </c>
      <c r="E527" s="157">
        <v>6.52</v>
      </c>
      <c r="F527" s="157">
        <f>7.67*(1+inflation)</f>
        <v>7.8617499999999989</v>
      </c>
      <c r="G527" s="129"/>
      <c r="H527" s="130"/>
    </row>
    <row r="528" spans="1:8" x14ac:dyDescent="0.3">
      <c r="A528" s="40" t="str">
        <f t="shared" si="53"/>
        <v>Market Fees</v>
      </c>
      <c r="B528" s="105" t="s">
        <v>138</v>
      </c>
      <c r="C528" s="156" t="s">
        <v>73</v>
      </c>
      <c r="D528" s="157">
        <v>0.82999999999999985</v>
      </c>
      <c r="E528" s="157">
        <v>0.82999999999999985</v>
      </c>
      <c r="F528" s="157">
        <v>0.87</v>
      </c>
      <c r="G528" s="129"/>
      <c r="H528" s="130"/>
    </row>
    <row r="529" spans="1:8" x14ac:dyDescent="0.3">
      <c r="A529" s="40" t="str">
        <f t="shared" si="53"/>
        <v>Carbon</v>
      </c>
      <c r="B529" s="105" t="s">
        <v>138</v>
      </c>
      <c r="C529" s="156" t="s">
        <v>73</v>
      </c>
      <c r="D529" s="158"/>
      <c r="E529" s="158"/>
      <c r="F529" s="157">
        <v>20.14</v>
      </c>
      <c r="G529" s="129"/>
      <c r="H529" s="130"/>
    </row>
    <row r="530" spans="1:8" x14ac:dyDescent="0.3">
      <c r="A530" s="40" t="str">
        <f t="shared" si="53"/>
        <v>LRET</v>
      </c>
      <c r="B530" s="105" t="s">
        <v>138</v>
      </c>
      <c r="C530" s="156" t="s">
        <v>73</v>
      </c>
      <c r="D530" s="157">
        <v>1.8399999999999999</v>
      </c>
      <c r="E530" s="157">
        <f>2.64*(1+inflation2012)</f>
        <v>2.706</v>
      </c>
      <c r="F530" s="157">
        <v>4.57</v>
      </c>
      <c r="G530" s="129"/>
      <c r="H530" s="130"/>
    </row>
    <row r="531" spans="1:8" x14ac:dyDescent="0.3">
      <c r="A531" s="40" t="str">
        <f t="shared" si="53"/>
        <v>Small scale renewable energy scheme</v>
      </c>
      <c r="B531" s="105" t="s">
        <v>138</v>
      </c>
      <c r="C531" s="156" t="s">
        <v>73</v>
      </c>
      <c r="D531" s="157">
        <v>0</v>
      </c>
      <c r="E531" s="157">
        <f>6.08*(1+inflation2012)</f>
        <v>6.2319999999999993</v>
      </c>
      <c r="F531" s="157">
        <v>5.66</v>
      </c>
      <c r="G531" s="129"/>
      <c r="H531" s="130"/>
    </row>
    <row r="532" spans="1:8" x14ac:dyDescent="0.3">
      <c r="A532" s="40" t="str">
        <f t="shared" si="53"/>
        <v>Energy savings</v>
      </c>
      <c r="B532" s="105" t="s">
        <v>138</v>
      </c>
      <c r="C532" s="156" t="s">
        <v>73</v>
      </c>
      <c r="D532" s="157">
        <v>0.72</v>
      </c>
      <c r="E532" s="157">
        <f>1.09*(1+inflation2012)</f>
        <v>1.1172500000000001</v>
      </c>
      <c r="F532" s="157">
        <v>1.55</v>
      </c>
      <c r="G532" s="157"/>
      <c r="H532" s="157"/>
    </row>
    <row r="533" spans="1:8" x14ac:dyDescent="0.3">
      <c r="A533" s="40" t="str">
        <f t="shared" si="53"/>
        <v>Blank</v>
      </c>
      <c r="B533" s="105" t="s">
        <v>138</v>
      </c>
      <c r="C533" s="156" t="s">
        <v>73</v>
      </c>
      <c r="D533" s="136"/>
      <c r="E533" s="136"/>
      <c r="F533" s="136"/>
      <c r="G533" s="62"/>
      <c r="H533" s="63"/>
    </row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horizontalDpi="300" verticalDpi="300" r:id="rId1"/>
  <rowBreaks count="8" manualBreakCount="8">
    <brk id="50" max="16383" man="1"/>
    <brk id="100" max="16383" man="1"/>
    <brk id="140" max="16383" man="1"/>
    <brk id="173" max="16383" man="1"/>
    <brk id="193" max="16383" man="1"/>
    <brk id="245" max="16383" man="1"/>
    <brk id="266" max="16383" man="1"/>
    <brk id="45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65"/>
  <sheetViews>
    <sheetView zoomScaleNormal="100" workbookViewId="0">
      <pane xSplit="3" ySplit="4" topLeftCell="D155" activePane="bottomRight" state="frozenSplit"/>
      <selection activeCell="I168" sqref="I168"/>
      <selection pane="topRight" activeCell="I168" sqref="I168"/>
      <selection pane="bottomLeft" activeCell="I168" sqref="I168"/>
      <selection pane="bottomRight" activeCell="D183" sqref="D183"/>
    </sheetView>
  </sheetViews>
  <sheetFormatPr defaultColWidth="9.140625" defaultRowHeight="16.5" x14ac:dyDescent="0.3"/>
  <cols>
    <col min="1" max="1" width="28.4257812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0" width="10.42578125" style="17" bestFit="1" customWidth="1"/>
    <col min="11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7</v>
      </c>
      <c r="B1" s="24" t="str">
        <f ca="1">'Input Global'!B1</f>
        <v>2012 Pricing Trends - model - NSW</v>
      </c>
      <c r="C1" s="24"/>
      <c r="D1" s="99"/>
      <c r="E1" s="99"/>
      <c r="F1" s="99"/>
      <c r="G1" s="98"/>
      <c r="H1" s="98"/>
      <c r="I1" s="79" t="s">
        <v>37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(Jurisdiction)</v>
      </c>
      <c r="C2" s="26"/>
      <c r="D2" s="100"/>
      <c r="E2" s="100"/>
      <c r="F2" s="100"/>
      <c r="G2" s="98"/>
      <c r="H2" s="98"/>
      <c r="I2" s="85" t="s">
        <v>31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2" customFormat="1" ht="15.75" x14ac:dyDescent="0.3">
      <c r="B4" s="27"/>
      <c r="C4" s="27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44</v>
      </c>
      <c r="B6" s="21" t="s">
        <v>48</v>
      </c>
    </row>
    <row r="7" spans="1:16" x14ac:dyDescent="0.3">
      <c r="A7" s="18" t="str">
        <f>Dist1</f>
        <v xml:space="preserve">Ausgrid </v>
      </c>
    </row>
    <row r="8" spans="1:16" x14ac:dyDescent="0.3">
      <c r="A8" s="17" t="s">
        <v>7</v>
      </c>
      <c r="B8" s="17" t="s">
        <v>43</v>
      </c>
      <c r="C8" s="17" t="s">
        <v>63</v>
      </c>
      <c r="D8" s="107">
        <f ca="1">VLOOKUP($B$2,dist1wholesale,COLUMN('Calc (Jurisdiction)'!D8),FALSE)*'Input Global'!D18</f>
        <v>52080</v>
      </c>
      <c r="E8" s="107">
        <f ca="1">VLOOKUP($B$2,dist1wholesale,COLUMN('Calc (Jurisdiction)'!E8),FALSE)*'Input Global'!E18</f>
        <v>51548</v>
      </c>
      <c r="F8" s="107">
        <f ca="1">VLOOKUP($B$2,dist1wholesale,COLUMN('Calc (Jurisdiction)'!F8),FALSE)*'Input Global'!F18</f>
        <v>52102.740550000002</v>
      </c>
      <c r="G8" s="107">
        <f ca="1">VLOOKUP($B$2,dist1wholesale,COLUMN('Calc (Jurisdiction)'!G8),FALSE)*'Input Global'!G18</f>
        <v>48789.418763349626</v>
      </c>
      <c r="H8" s="107">
        <f ca="1">VLOOKUP($B$2,dist1wholesale,COLUMN('Calc (Jurisdiction)'!H8),FALSE)*'Input Global'!H18</f>
        <v>49677.93842360111</v>
      </c>
      <c r="K8" s="97"/>
      <c r="L8" s="97"/>
      <c r="M8" s="97"/>
    </row>
    <row r="9" spans="1:16" x14ac:dyDescent="0.3">
      <c r="A9" s="17" t="s">
        <v>46</v>
      </c>
      <c r="B9" s="17" t="s">
        <v>43</v>
      </c>
      <c r="C9" s="17" t="s">
        <v>63</v>
      </c>
      <c r="D9" s="107">
        <f>'Input General'!D8+(SUMPRODUCT('Input General'!D9:D12,'Input General'!D73:D76)*'Input Global'!D18)</f>
        <v>13643.396656357232</v>
      </c>
      <c r="E9" s="107">
        <f>'Input General'!E8+(SUMPRODUCT('Input General'!E9:E12,'Input General'!E73:E76)*'Input Global'!E18)</f>
        <v>17085.511121963093</v>
      </c>
      <c r="F9" s="107">
        <f>'Input General'!F8+(SUMPRODUCT('Input General'!F9:F12,'Input General'!F73:F76)*'Input Global'!F18)</f>
        <v>34551.444272383662</v>
      </c>
      <c r="G9" s="107">
        <f>'Input General'!G8+(SUMPRODUCT('Input General'!G9:G12,'Input General'!G73:G76)*'Input Global'!G18)</f>
        <v>36958.522533069154</v>
      </c>
      <c r="H9" s="107">
        <f>'Input General'!H8+(SUMPRODUCT('Input General'!H9:H12,'Input General'!H73:H76)*'Input Global'!H18)</f>
        <v>39533.293516159778</v>
      </c>
      <c r="J9" s="97"/>
      <c r="K9" s="97"/>
      <c r="L9" s="97"/>
      <c r="M9" s="97"/>
    </row>
    <row r="10" spans="1:16" x14ac:dyDescent="0.3">
      <c r="A10" s="17" t="s">
        <v>45</v>
      </c>
      <c r="B10" s="17" t="s">
        <v>43</v>
      </c>
      <c r="C10" s="17" t="s">
        <v>63</v>
      </c>
      <c r="D10" s="107">
        <f>'Input General'!D28+SUMPRODUCT('Input General'!D29:D32,'Input General'!D73:D76)*'Input Global'!D18+'Input General'!D47</f>
        <v>62286.834148305898</v>
      </c>
      <c r="E10" s="107">
        <f>'Input General'!E28+SUMPRODUCT('Input General'!E29:E32,'Input General'!E73:E76)*'Input Global'!E18+'Input General'!E47</f>
        <v>74373.050202635233</v>
      </c>
      <c r="F10" s="107">
        <f>'Input General'!F28+SUMPRODUCT('Input General'!F29:F32,'Input General'!F73:F76)*'Input Global'!F18+'Input General'!F47</f>
        <v>74017.827471978759</v>
      </c>
      <c r="G10" s="107">
        <f>'Input General'!G28+SUMPRODUCT('Input General'!G29:G32,'Input General'!G73:G76)*'Input Global'!G18+'Input General'!G47</f>
        <v>74687.392682512756</v>
      </c>
      <c r="H10" s="107">
        <f>'Input General'!H28+SUMPRODUCT('Input General'!H29:H32,'Input General'!H73:H76)*'Input Global'!H18+'Input General'!H47</f>
        <v>76639.320418420059</v>
      </c>
      <c r="J10" s="97"/>
      <c r="K10" s="97"/>
      <c r="L10" s="97"/>
      <c r="M10" s="97"/>
      <c r="P10" s="29"/>
    </row>
    <row r="11" spans="1:16" x14ac:dyDescent="0.3">
      <c r="A11" s="17" t="s">
        <v>21</v>
      </c>
      <c r="B11" s="17" t="s">
        <v>43</v>
      </c>
      <c r="C11" s="17" t="s">
        <v>63</v>
      </c>
      <c r="D11" s="107">
        <f>'Input General'!D90*'Input Global'!D18</f>
        <v>9870</v>
      </c>
      <c r="E11" s="107">
        <f>'Input General'!E90*'Input Global'!E18</f>
        <v>9870</v>
      </c>
      <c r="F11" s="107">
        <f>'Input General'!F90*'Input Global'!F18</f>
        <v>10332</v>
      </c>
      <c r="G11" s="107">
        <f>'Input General'!G90*'Input Global'!G18</f>
        <v>10590.3</v>
      </c>
      <c r="H11" s="107">
        <f>'Input General'!H90*'Input Global'!H18</f>
        <v>10855.057499999997</v>
      </c>
      <c r="J11" s="97"/>
      <c r="K11" s="97"/>
      <c r="L11" s="97"/>
      <c r="M11" s="97"/>
      <c r="O11" s="29"/>
      <c r="P11" s="29"/>
    </row>
    <row r="12" spans="1:16" x14ac:dyDescent="0.3">
      <c r="A12" s="17" t="s">
        <v>116</v>
      </c>
      <c r="B12" s="17" t="s">
        <v>43</v>
      </c>
      <c r="C12" s="17" t="s">
        <v>63</v>
      </c>
      <c r="D12" s="107">
        <f ca="1">VLOOKUP($B$2,'Input General'!$A$143:$H$147,COLUMN(D12),FALSE)*'Input Global'!D33</f>
        <v>7609.2064634518083</v>
      </c>
      <c r="E12" s="107">
        <f ca="1">VLOOKUP($B$2,'Input General'!$A$143:$H$147,COLUMN(E12),FALSE)*'Input Global'!E33</f>
        <v>8710.333363834683</v>
      </c>
      <c r="F12" s="107">
        <f ca="1">VLOOKUP($B$2,'Input General'!$A$143:$H$147,COLUMN(F12),FALSE)*'Input Global'!F33</f>
        <v>10592.981891653271</v>
      </c>
      <c r="G12" s="107">
        <f ca="1">VLOOKUP($B$2,'Input General'!$A$143:$H$147,COLUMN(G12),FALSE)*'Input Global'!G33</f>
        <v>10504.119882897154</v>
      </c>
      <c r="H12" s="107">
        <f ca="1">VLOOKUP($B$2,'Input General'!$A$143:$H$147,COLUMN(H12),FALSE)*'Input Global'!H33</f>
        <v>10851.110942996507</v>
      </c>
      <c r="J12" s="97"/>
      <c r="K12" s="97"/>
      <c r="L12" s="97"/>
      <c r="M12" s="97"/>
      <c r="O12" s="29"/>
      <c r="P12" s="29"/>
    </row>
    <row r="13" spans="1:16" x14ac:dyDescent="0.3">
      <c r="A13" s="17" t="s">
        <v>47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">
        <v>68</v>
      </c>
      <c r="B14" s="17" t="s">
        <v>43</v>
      </c>
      <c r="C14" s="17" t="s">
        <v>63</v>
      </c>
      <c r="D14" s="107">
        <f>'Input General'!D53+SUMPRODUCT('Input General'!D54:D57,'Input General'!D73:D76)*'Input Global'!D18</f>
        <v>1239</v>
      </c>
      <c r="E14" s="107">
        <f>'Input General'!E53+SUMPRODUCT('Input General'!E54:E57,'Input General'!E73:E76)*'Input Global'!E18</f>
        <v>1387.2333760439487</v>
      </c>
      <c r="F14" s="107">
        <f>'Input General'!F53+SUMPRODUCT('Input General'!F54:F57,'Input General'!F73:F76)*'Input Global'!F18</f>
        <v>2746.0440325500003</v>
      </c>
      <c r="G14" s="107">
        <f>'Input General'!G53+SUMPRODUCT('Input General'!G54:G57,'Input General'!G73:G76)*'Input Global'!G18</f>
        <v>3389.71675377972</v>
      </c>
      <c r="H14" s="107">
        <f>'Input General'!H53+SUMPRODUCT('Input General'!H54:H57,'Input General'!H73:H76)*'Input Global'!H18</f>
        <v>3389.71675377972</v>
      </c>
      <c r="J14" s="97"/>
      <c r="K14" s="97"/>
      <c r="L14" s="97"/>
      <c r="M14" s="97"/>
      <c r="O14" s="29"/>
      <c r="P14" s="29"/>
    </row>
    <row r="15" spans="1:16" x14ac:dyDescent="0.3">
      <c r="A15" s="19" t="str">
        <f>'Input Frontier'!A29</f>
        <v>Carbon costs</v>
      </c>
      <c r="B15" s="17" t="s">
        <v>43</v>
      </c>
      <c r="C15" s="17" t="s">
        <v>63</v>
      </c>
      <c r="D15" s="107">
        <f ca="1">VLOOKUP($B$2,'Input General'!$A$176:$H$180, COLUMN('Input General'!D176),FALSE)*'Input Global'!D$18</f>
        <v>0</v>
      </c>
      <c r="E15" s="107">
        <f ca="1">VLOOKUP($B$2,'Input General'!$A$176:$H$180, COLUMN('Input General'!E176),FALSE)*'Input Global'!E$18</f>
        <v>0</v>
      </c>
      <c r="F15" s="107">
        <f ca="1">VLOOKUP($B$2,'Input General'!$A$176:$H$180, COLUMN('Input General'!F176),FALSE)*'Input Global'!F$18</f>
        <v>14299.774999999998</v>
      </c>
      <c r="G15" s="107">
        <f ca="1">VLOOKUP($B$2,'Input General'!$A$176:$H$180, COLUMN('Input General'!G176),FALSE)*'Input Global'!G$18</f>
        <v>15003.626459204275</v>
      </c>
      <c r="H15" s="107">
        <f ca="1">VLOOKUP($B$2,'Input General'!$A$176:$H$180, COLUMN('Input General'!H176),FALSE)*'Input Global'!H$18</f>
        <v>15770.847275560856</v>
      </c>
      <c r="I15" s="32"/>
      <c r="J15" s="97"/>
      <c r="K15" s="97"/>
      <c r="L15" s="97"/>
      <c r="M15" s="97"/>
    </row>
    <row r="16" spans="1:16" x14ac:dyDescent="0.3">
      <c r="A16" s="19" t="s">
        <v>96</v>
      </c>
      <c r="B16" s="17" t="s">
        <v>43</v>
      </c>
      <c r="C16" s="17" t="s">
        <v>63</v>
      </c>
      <c r="D16" s="107">
        <f ca="1">VLOOKUP($B$2,'Input General'!$A215:$H220,COLUMN(D16),FALSE)*'Input Global'!D18</f>
        <v>1288</v>
      </c>
      <c r="E16" s="107">
        <f ca="1">VLOOKUP($B$2,'Input General'!$A215:$H220,COLUMN(E16),FALSE)*'Input Global'!E18</f>
        <v>1915.7249999999997</v>
      </c>
      <c r="F16" s="107">
        <f ca="1">VLOOKUP($B$2,'Input General'!$A215:$H220,COLUMN(F16),FALSE)*'Input Global'!F18</f>
        <v>3178.5249999999996</v>
      </c>
      <c r="G16" s="107">
        <f ca="1">VLOOKUP($B$2,'Input General'!$A215:$H220,COLUMN(G16),FALSE)*'Input Global'!G18</f>
        <v>3405.9692485926021</v>
      </c>
      <c r="H16" s="107">
        <f ca="1">VLOOKUP($B$2,'Input General'!$A215:$H220,COLUMN(H16),FALSE)*'Input Global'!H18</f>
        <v>3606.7734894601358</v>
      </c>
      <c r="I16" s="32"/>
      <c r="J16" s="97"/>
      <c r="K16" s="97"/>
      <c r="L16" s="97"/>
      <c r="M16" s="97"/>
    </row>
    <row r="17" spans="1:13" x14ac:dyDescent="0.3">
      <c r="A17" s="19" t="s">
        <v>97</v>
      </c>
      <c r="B17" s="17" t="s">
        <v>43</v>
      </c>
      <c r="C17" s="17" t="s">
        <v>63</v>
      </c>
      <c r="D17" s="107">
        <f ca="1">'Input General'!D91*'Input Global'!D18</f>
        <v>0</v>
      </c>
      <c r="E17" s="107">
        <f ca="1">'Input General'!E91*'Input Global'!E18</f>
        <v>4340.8749999999991</v>
      </c>
      <c r="F17" s="107">
        <f ca="1">'Input General'!F91*'Input Global'!F18</f>
        <v>3852.9749999999995</v>
      </c>
      <c r="G17" s="107">
        <f ca="1">'Input General'!G91*'Input Global'!G18</f>
        <v>1695.7921316614418</v>
      </c>
      <c r="H17" s="107">
        <f ca="1">'Input General'!H91*'Input Global'!H18</f>
        <v>1473.5515673981197</v>
      </c>
      <c r="I17" s="32"/>
      <c r="J17" s="97"/>
      <c r="K17" s="97"/>
      <c r="L17" s="97"/>
      <c r="M17" s="97"/>
    </row>
    <row r="18" spans="1:13" x14ac:dyDescent="0.3">
      <c r="A18" s="19" t="str">
        <f>Scheme1</f>
        <v>Energy savings</v>
      </c>
      <c r="B18" s="17" t="s">
        <v>43</v>
      </c>
      <c r="C18" s="17" t="s">
        <v>63</v>
      </c>
      <c r="D18" s="107">
        <f ca="1">VLOOKUP($B$2,'Input General'!$A$103:$H$107,COLUMN(D18),FALSE)*'Input Global'!D$18</f>
        <v>503.99999999999994</v>
      </c>
      <c r="E18" s="107">
        <f ca="1">VLOOKUP($B$2,'Input General'!$A$103:$H$107,COLUMN(E18),FALSE)*'Input Global'!E$18</f>
        <v>782.07500000000005</v>
      </c>
      <c r="F18" s="107">
        <f ca="1">VLOOKUP($B$2,'Input General'!$A$103:$H$107,COLUMN(F18),FALSE)*'Input Global'!F$18</f>
        <v>1085</v>
      </c>
      <c r="G18" s="107">
        <f ca="1">VLOOKUP($B$2,'Input General'!$A$103:$H$107,COLUMN(G18),FALSE)*'Input Global'!G$18</f>
        <v>0</v>
      </c>
      <c r="H18" s="107">
        <f ca="1">VLOOKUP($B$2,'Input General'!$A$103:$H$107,COLUMN(H18),FALSE)*'Input Global'!H$18</f>
        <v>0</v>
      </c>
      <c r="I18" s="32"/>
      <c r="J18" s="97"/>
      <c r="K18" s="97"/>
      <c r="L18" s="97"/>
      <c r="M18" s="97"/>
    </row>
    <row r="19" spans="1:13" x14ac:dyDescent="0.3">
      <c r="A19" s="19" t="str">
        <f>Scheme2</f>
        <v>Blank</v>
      </c>
      <c r="B19" s="17" t="s">
        <v>43</v>
      </c>
      <c r="C19" s="17" t="s">
        <v>63</v>
      </c>
      <c r="D19" s="107">
        <f ca="1">VLOOKUP($B$2,'Input General'!$A$123:$H$127,COLUMN(D19),FALSE)*'Input Global'!D$18</f>
        <v>0</v>
      </c>
      <c r="E19" s="107">
        <f ca="1">VLOOKUP($B$2,'Input General'!$A$123:$H$127,COLUMN(E19),FALSE)*'Input Global'!E$18</f>
        <v>0</v>
      </c>
      <c r="F19" s="107">
        <f ca="1">VLOOKUP($B$2,'Input General'!$A$123:$H$127,COLUMN(F19),FALSE)*'Input Global'!F$18</f>
        <v>0</v>
      </c>
      <c r="G19" s="107">
        <f ca="1">VLOOKUP($B$2,'Input General'!$A$123:$H$127,COLUMN(G19),FALSE)*'Input Global'!G$18</f>
        <v>0</v>
      </c>
      <c r="H19" s="107">
        <f ca="1">VLOOKUP($B$2,'Input General'!$A$123:$H$127,COLUMN(H19),FALSE)*'Input Global'!H$18</f>
        <v>0</v>
      </c>
      <c r="I19" s="32"/>
    </row>
    <row r="20" spans="1:13" x14ac:dyDescent="0.3">
      <c r="A20" s="20" t="s">
        <v>61</v>
      </c>
      <c r="B20" s="20" t="s">
        <v>43</v>
      </c>
      <c r="C20" s="20" t="s">
        <v>63</v>
      </c>
      <c r="D20" s="107">
        <f ca="1">SUM(D8:D19)</f>
        <v>148520.43726811494</v>
      </c>
      <c r="E20" s="107">
        <f t="shared" ref="E20:H20" ca="1" si="0">SUM(E8:E19)</f>
        <v>170012.80306447696</v>
      </c>
      <c r="F20" s="107">
        <f t="shared" ca="1" si="0"/>
        <v>206759.31321856569</v>
      </c>
      <c r="G20" s="107">
        <f t="shared" ca="1" si="0"/>
        <v>205024.85845506669</v>
      </c>
      <c r="H20" s="107">
        <f t="shared" ca="1" si="0"/>
        <v>211797.60988737628</v>
      </c>
      <c r="J20" s="97"/>
      <c r="K20" s="97"/>
      <c r="L20" s="97"/>
      <c r="M20" s="97"/>
    </row>
    <row r="21" spans="1:13" x14ac:dyDescent="0.3">
      <c r="A21" s="133"/>
      <c r="B21" s="133"/>
      <c r="C21" s="133"/>
      <c r="D21" s="134"/>
      <c r="E21" s="134"/>
      <c r="F21" s="134"/>
      <c r="G21" s="134"/>
      <c r="H21" s="134"/>
    </row>
    <row r="22" spans="1:13" x14ac:dyDescent="0.3">
      <c r="A22" s="18" t="str">
        <f>Dist2</f>
        <v>Essential</v>
      </c>
    </row>
    <row r="23" spans="1:13" x14ac:dyDescent="0.3">
      <c r="A23" s="17" t="str">
        <f>A8</f>
        <v>Wholesale</v>
      </c>
      <c r="B23" s="17" t="s">
        <v>43</v>
      </c>
      <c r="C23" s="17" t="s">
        <v>63</v>
      </c>
      <c r="D23" s="107">
        <f ca="1">IF(LEFT($A$22,5)="blank",0,VLOOKUP($B$2,dist2wholesale,COLUMN(D8),FALSE)*'Input Global'!D19)</f>
        <v>50813</v>
      </c>
      <c r="E23" s="107">
        <f ca="1">IF(LEFT($A$22,5)="blank",0,VLOOKUP($B$2,dist2wholesale,COLUMN(E8),FALSE)*'Input Global'!E19)</f>
        <v>49917</v>
      </c>
      <c r="F23" s="107">
        <f ca="1">IF(LEFT($A$22,5)="blank",0,VLOOKUP($B$2,dist2wholesale,COLUMN(F8),FALSE)*'Input Global'!F19)</f>
        <v>52210.365550000002</v>
      </c>
      <c r="G23" s="107">
        <f ca="1">IF(LEFT($A$22,5)="blank",0,VLOOKUP($B$2,dist2wholesale,COLUMN(G8),FALSE)*'Input Global'!G19)</f>
        <v>46434.601042895287</v>
      </c>
      <c r="H23" s="107">
        <f ca="1">IF(LEFT($A$22,5)="blank",0,VLOOKUP($B$2,dist2wholesale,COLUMN(H8),FALSE)*'Input Global'!H19)</f>
        <v>47283.657293826298</v>
      </c>
    </row>
    <row r="24" spans="1:13" x14ac:dyDescent="0.3">
      <c r="A24" s="17" t="str">
        <f t="shared" ref="A24:A34" si="1">A9</f>
        <v>Transmission</v>
      </c>
      <c r="B24" s="17" t="s">
        <v>43</v>
      </c>
      <c r="C24" s="17" t="s">
        <v>63</v>
      </c>
      <c r="D24" s="107">
        <f>IF(LEFT($A$22,5)="blank",0,'Input General'!D14+(SUMPRODUCT('Input General'!D15:D18,'Input General'!D78:D81)*'Input Global'!D19))</f>
        <v>14833.721625305587</v>
      </c>
      <c r="E24" s="107">
        <f>IF(LEFT($A$22,5)="blank",0,'Input General'!E14+(SUMPRODUCT('Input General'!E15:E18,'Input General'!E78:E81)*'Input Global'!E19))</f>
        <v>17812.2</v>
      </c>
      <c r="F24" s="107">
        <f>IF(LEFT($A$22,5)="blank",0,'Input General'!F14+(SUMPRODUCT('Input General'!F15:F18,'Input General'!F78:F81)*'Input Global'!F19))</f>
        <v>19373.491992677085</v>
      </c>
      <c r="G24" s="107">
        <f>IF(LEFT($A$22,5)="blank",0,'Input General'!G14+(SUMPRODUCT('Input General'!G15:G18,'Input General'!G78:G81)*'Input Global'!G19))</f>
        <v>20723.175410872456</v>
      </c>
      <c r="H24" s="107">
        <f>IF(LEFT($A$22,5)="blank",0,'Input General'!H14+(SUMPRODUCT('Input General'!H15:H18,'Input General'!H78:H81)*'Input Global'!H19))</f>
        <v>22166.886551588894</v>
      </c>
    </row>
    <row r="25" spans="1:13" x14ac:dyDescent="0.3">
      <c r="A25" s="17" t="str">
        <f t="shared" si="1"/>
        <v>Distribution</v>
      </c>
      <c r="B25" s="17" t="s">
        <v>43</v>
      </c>
      <c r="C25" s="17" t="s">
        <v>63</v>
      </c>
      <c r="D25" s="107">
        <f>IF(LEFT($A$22,5)="blank",0,'Input General'!D34+SUMPRODUCT('Input General'!D35:D38,'Input General'!D78:D81)*'Input Global'!D19+'Input General'!D48)</f>
        <v>89723.450000000303</v>
      </c>
      <c r="E25" s="107">
        <f>IF(LEFT($A$22,5)="blank",0,'Input General'!E34+SUMPRODUCT('Input General'!E35:E38,'Input General'!E78:E81)*'Input Global'!E19+'Input General'!E48)</f>
        <v>109620.68</v>
      </c>
      <c r="F25" s="107">
        <f>IF(LEFT($A$22,5)="blank",0,'Input General'!F34+SUMPRODUCT('Input General'!F35:F38,'Input General'!F78:F81)*'Input Global'!F19+'Input General'!F48)</f>
        <v>131321.078752</v>
      </c>
      <c r="G25" s="107">
        <f>IF(LEFT($A$22,5)="blank",0,'Input General'!G34+SUMPRODUCT('Input General'!G35:G38,'Input General'!G78:G81)*'Input Global'!G19+'Input General'!G48)</f>
        <v>128670.07656065673</v>
      </c>
      <c r="H25" s="107">
        <f>IF(LEFT($A$22,5)="blank",0,'Input General'!H34+SUMPRODUCT('Input General'!H35:H38,'Input General'!H78:H81)*'Input Global'!H19+'Input General'!H48)</f>
        <v>131956.28270434189</v>
      </c>
    </row>
    <row r="26" spans="1:13" x14ac:dyDescent="0.3">
      <c r="A26" s="17" t="str">
        <f t="shared" si="1"/>
        <v>Retail</v>
      </c>
      <c r="B26" s="17" t="s">
        <v>43</v>
      </c>
      <c r="C26" s="17" t="s">
        <v>63</v>
      </c>
      <c r="D26" s="107">
        <f>IF(LEFT($A$22,5)="blank",0,'Input General'!D94*'Input Global'!D19)</f>
        <v>9240</v>
      </c>
      <c r="E26" s="107">
        <f>IF(LEFT($A$22,5)="blank",0,'Input General'!E94*'Input Global'!E19)</f>
        <v>10010</v>
      </c>
      <c r="F26" s="107">
        <f>IF(LEFT($A$22,5)="blank",0,'Input General'!F94*'Input Global'!F19)</f>
        <v>10475.499999999998</v>
      </c>
      <c r="G26" s="107">
        <f>IF(LEFT($A$22,5)="blank",0,'Input General'!G94*'Input Global'!G19)</f>
        <v>10737.387499999999</v>
      </c>
      <c r="H26" s="107">
        <f>IF(LEFT($A$22,5)="blank",0,'Input General'!H94*'Input Global'!H19)</f>
        <v>11005.822187499998</v>
      </c>
    </row>
    <row r="27" spans="1:13" x14ac:dyDescent="0.3">
      <c r="A27" s="17" t="str">
        <f t="shared" si="1"/>
        <v>Retail and Residual</v>
      </c>
      <c r="B27" s="17" t="s">
        <v>43</v>
      </c>
      <c r="C27" s="17" t="s">
        <v>63</v>
      </c>
      <c r="D27" s="107">
        <f ca="1">IF(LEFT($A$22,5)="blank",0,VLOOKUP($B$2,'Input General'!$A$149:$H$153,COLUMN(D12),FALSE)*'Input Global'!D$34)</f>
        <v>9049.1933894091344</v>
      </c>
      <c r="E27" s="107">
        <f ca="1">IF(LEFT($A$22,5)="blank",0,VLOOKUP($B$2,'Input General'!$A$149:$H$153,COLUMN(E12),FALSE)*'Input Global'!E$34)</f>
        <v>10568.43477</v>
      </c>
      <c r="F27" s="107">
        <f ca="1">IF(LEFT($A$22,5)="blank",0,VLOOKUP($B$2,'Input General'!$A$149:$H$153,COLUMN(F12),FALSE)*'Input Global'!F$34)</f>
        <v>12860.670208717282</v>
      </c>
      <c r="G27" s="107">
        <f ca="1">IF(LEFT($A$22,5)="blank",0,VLOOKUP($B$2,'Input General'!$A$149:$H$153,COLUMN(G12),FALSE)*'Input Global'!G$34)</f>
        <v>12391.335809813856</v>
      </c>
      <c r="H27" s="107">
        <f ca="1">IF(LEFT($A$22,5)="blank",0,VLOOKUP($B$2,'Input General'!$A$149:$H$153,COLUMN(H12),FALSE)*'Input Global'!H$34)</f>
        <v>12789.839461936283</v>
      </c>
      <c r="I27" s="32"/>
    </row>
    <row r="28" spans="1:13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13" x14ac:dyDescent="0.3">
      <c r="A29" s="19" t="str">
        <f t="shared" si="1"/>
        <v>Feed-in Tariffs</v>
      </c>
      <c r="B29" s="17" t="s">
        <v>43</v>
      </c>
      <c r="C29" s="17" t="s">
        <v>63</v>
      </c>
      <c r="D29" s="107">
        <f>IF(LEFT($A$22,5)="blank",0,'Input General'!D59+SUMPRODUCT('Input General'!D60:D63,'Input General'!D78:D81)*'Input Global'!D19)</f>
        <v>1175.4837341225127</v>
      </c>
      <c r="E29" s="107">
        <f>IF(LEFT($A$22,5)="blank",0,'Input General'!E59+SUMPRODUCT('Input General'!E60:E63,'Input General'!E78:E81)*'Input Global'!E19)</f>
        <v>1255.8</v>
      </c>
      <c r="F29" s="107">
        <f>IF(LEFT($A$22,5)="blank",0,'Input General'!F59+SUMPRODUCT('Input General'!F60:F63,'Input General'!F78:F81)*'Input Global'!F19)</f>
        <v>2250.6231260133077</v>
      </c>
      <c r="G29" s="107">
        <f>IF(LEFT($A$22,5)="blank",0,'Input General'!G59+SUMPRODUCT('Input General'!G60:G63,'Input General'!G78:G81)*'Input Global'!G19)</f>
        <v>2778.1691867508275</v>
      </c>
      <c r="H29" s="107">
        <f>IF(LEFT($A$22,5)="blank",0,'Input General'!H59+SUMPRODUCT('Input General'!H60:H63,'Input General'!H78:H81)*'Input Global'!H19)</f>
        <v>2778.1691867508275</v>
      </c>
    </row>
    <row r="30" spans="1:13" x14ac:dyDescent="0.3">
      <c r="A30" s="19" t="str">
        <f t="shared" si="1"/>
        <v>Carbon costs</v>
      </c>
      <c r="B30" s="17" t="s">
        <v>43</v>
      </c>
      <c r="C30" s="17" t="s">
        <v>63</v>
      </c>
      <c r="D30" s="107">
        <f ca="1">IF(LEFT($A$22,5)="blank",0,VLOOKUP($B$2,'Input General'!$A$182:$H$186,COLUMN('Input General'!D182),FALSE)*'Input Global'!D$19)</f>
        <v>0</v>
      </c>
      <c r="E30" s="107">
        <f ca="1">IF(LEFT($A$22,5)="blank",0,VLOOKUP($B$2,'Input General'!$A$182:$H$186,COLUMN('Input General'!E182),FALSE)*'Input Global'!E$19)</f>
        <v>0</v>
      </c>
      <c r="F30" s="107">
        <f ca="1">IF(LEFT($A$22,5)="blank",0,VLOOKUP($B$2,'Input General'!$A$182:$H$186,COLUMN('Input General'!F182),FALSE)*'Input Global'!F$19)</f>
        <v>14235.199999999999</v>
      </c>
      <c r="G30" s="107">
        <f ca="1">IF(LEFT($A$22,5)="blank",0,VLOOKUP($B$2,'Input General'!$A$182:$H$186,COLUMN('Input General'!G182),FALSE)*'Input Global'!G$19)</f>
        <v>14940.532571145313</v>
      </c>
      <c r="H30" s="107">
        <f ca="1">IF(LEFT($A$22,5)="blank",0,VLOOKUP($B$2,'Input General'!$A$182:$H$186,COLUMN('Input General'!H182),FALSE)*'Input Global'!H$19)</f>
        <v>16503.737189709107</v>
      </c>
      <c r="I30" s="32"/>
    </row>
    <row r="31" spans="1:13" x14ac:dyDescent="0.3">
      <c r="A31" s="19" t="str">
        <f t="shared" si="1"/>
        <v>Large Scale Renewable Energy Target</v>
      </c>
      <c r="B31" s="17" t="s">
        <v>43</v>
      </c>
      <c r="C31" s="17" t="s">
        <v>63</v>
      </c>
      <c r="D31" s="107">
        <f ca="1">IF(LEFT($A$22,5)="blank",0,VLOOKUP($B$2,'Input General'!$A221:$H226,COLUMN(D16),FALSE)*'Input Global'!D19)</f>
        <v>1288</v>
      </c>
      <c r="E31" s="107">
        <f ca="1">IF(LEFT($A$22,5)="blank",0,VLOOKUP($B$2,'Input General'!$A221:$H226,COLUMN(E16),FALSE)*'Input Global'!E19)</f>
        <v>1901.3749999999995</v>
      </c>
      <c r="F31" s="107">
        <f ca="1">IF(LEFT($A$22,5)="blank",0,VLOOKUP($B$2,'Input General'!$A221:$H226,COLUMN(F16),FALSE)*'Input Global'!F19)</f>
        <v>3185.7</v>
      </c>
      <c r="G31" s="107">
        <f ca="1">IF(LEFT($A$22,5)="blank",0,VLOOKUP($B$2,'Input General'!$A221:$H226,COLUMN(G16),FALSE)*'Input Global'!G19)</f>
        <v>3413.657666760982</v>
      </c>
      <c r="H31" s="107">
        <f ca="1">IF(LEFT($A$22,5)="blank",0,VLOOKUP($B$2,'Input General'!$A221:$H226,COLUMN(H16),FALSE)*'Input Global'!H19)</f>
        <v>3614.9151903392785</v>
      </c>
      <c r="I31" s="32"/>
    </row>
    <row r="32" spans="1:13" x14ac:dyDescent="0.3">
      <c r="A32" s="19" t="str">
        <f t="shared" si="1"/>
        <v>Small Scale Renewable Energy Scheme</v>
      </c>
      <c r="B32" s="17" t="s">
        <v>43</v>
      </c>
      <c r="C32" s="17" t="s">
        <v>63</v>
      </c>
      <c r="D32" s="107">
        <f ca="1">IF(LEFT($A$22,5)="blank",0,'Input General'!D95*'Input Global'!D$19)</f>
        <v>0</v>
      </c>
      <c r="E32" s="107">
        <f ca="1">IF(LEFT($A$22,5)="blank",0,'Input General'!E95*'Input Global'!E$19)</f>
        <v>4412.625</v>
      </c>
      <c r="F32" s="107">
        <f ca="1">IF(LEFT($A$22,5)="blank",0,'Input General'!F95*'Input Global'!F$19)</f>
        <v>4025.1750000000002</v>
      </c>
      <c r="G32" s="107">
        <f ca="1">IF(LEFT($A$22,5)="blank",0,'Input General'!G95*'Input Global'!G$19)</f>
        <v>1771.5817241379309</v>
      </c>
      <c r="H32" s="107">
        <f ca="1">IF(LEFT($A$22,5)="blank",0,'Input General'!H95*'Input Global'!H$19)</f>
        <v>1539.4086206896557</v>
      </c>
      <c r="I32" s="32"/>
    </row>
    <row r="33" spans="1:9" x14ac:dyDescent="0.3">
      <c r="A33" s="19" t="str">
        <f t="shared" si="1"/>
        <v>Energy savings</v>
      </c>
      <c r="B33" s="17" t="s">
        <v>43</v>
      </c>
      <c r="C33" s="17" t="s">
        <v>63</v>
      </c>
      <c r="D33" s="107">
        <f ca="1">IF(LEFT($A$22,5)="blank",0,VLOOKUP($B$2,'Input General'!$A$109:$H$113,COLUMN(D33),FALSE)*'Input Global'!D$19)</f>
        <v>503.99999999999994</v>
      </c>
      <c r="E33" s="107">
        <f ca="1">IF(LEFT($A$22,5)="blank",0,VLOOKUP($B$2,'Input General'!$A$109:$H$113,COLUMN(E33),FALSE)*'Input Global'!E$19)</f>
        <v>782.07500000000005</v>
      </c>
      <c r="F33" s="107">
        <f ca="1">IF(LEFT($A$22,5)="blank",0,VLOOKUP($B$2,'Input General'!$A$109:$H$113,COLUMN(F33),FALSE)*'Input Global'!F$19)</f>
        <v>1083.425</v>
      </c>
      <c r="G33" s="107">
        <f ca="1">IF(LEFT($A$22,5)="blank",0,VLOOKUP($B$2,'Input General'!$A$109:$H$113,COLUMN(G33),FALSE)*'Input Global'!G$19)</f>
        <v>0</v>
      </c>
      <c r="H33" s="107">
        <f ca="1">IF(LEFT($A$22,5)="blank",0,VLOOKUP($B$2,'Input General'!$A$109:$H$113,COLUMN(H33),FALSE)*'Input Global'!H$19)</f>
        <v>0</v>
      </c>
      <c r="I33" s="32"/>
    </row>
    <row r="34" spans="1:9" x14ac:dyDescent="0.3">
      <c r="A34" s="19" t="str">
        <f t="shared" si="1"/>
        <v>Blank</v>
      </c>
      <c r="B34" s="17" t="s">
        <v>43</v>
      </c>
      <c r="C34" s="17" t="s">
        <v>63</v>
      </c>
      <c r="D34" s="107">
        <f ca="1">IF(LEFT($A$22,5)="blank",0,VLOOKUP($B$2,'Input General'!$A$129:$H$133,COLUMN(D34),FALSE)*'Input Global'!D$19)</f>
        <v>0</v>
      </c>
      <c r="E34" s="107">
        <f ca="1">IF(LEFT($A$22,5)="blank",0,VLOOKUP($B$2,'Input General'!$A$129:$H$133,COLUMN(E34),FALSE)*'Input Global'!E$19)</f>
        <v>0</v>
      </c>
      <c r="F34" s="107">
        <f ca="1">IF(LEFT($A$22,5)="blank",0,VLOOKUP($B$2,'Input General'!$A$129:$H$133,COLUMN(F34),FALSE)*'Input Global'!F$19)</f>
        <v>0</v>
      </c>
      <c r="G34" s="107">
        <f ca="1">IF(LEFT($A$22,5)="blank",0,VLOOKUP($B$2,'Input General'!$A$129:$H$133,COLUMN(G34),FALSE)*'Input Global'!G$19)</f>
        <v>0</v>
      </c>
      <c r="H34" s="107">
        <f ca="1">IF(LEFT($A$22,5)="blank",0,VLOOKUP($B$2,'Input General'!$A$129:$H$133,COLUMN(H34),FALSE)*'Input Global'!H$19)</f>
        <v>0</v>
      </c>
      <c r="I34" s="32"/>
    </row>
    <row r="35" spans="1:9" x14ac:dyDescent="0.3">
      <c r="A35" s="20" t="s">
        <v>61</v>
      </c>
      <c r="B35" s="20" t="s">
        <v>43</v>
      </c>
      <c r="C35" s="20" t="s">
        <v>63</v>
      </c>
      <c r="D35" s="107">
        <f ca="1">SUM(D23:D34)</f>
        <v>176626.84874883754</v>
      </c>
      <c r="E35" s="107">
        <f t="shared" ref="E35:H35" ca="1" si="2">SUM(E23:E34)</f>
        <v>206280.18977</v>
      </c>
      <c r="F35" s="107">
        <f t="shared" ca="1" si="2"/>
        <v>251021.2296294077</v>
      </c>
      <c r="G35" s="107">
        <f t="shared" ca="1" si="2"/>
        <v>241860.5174730334</v>
      </c>
      <c r="H35" s="107">
        <f t="shared" ca="1" si="2"/>
        <v>249638.71838668225</v>
      </c>
    </row>
    <row r="36" spans="1:9" x14ac:dyDescent="0.3">
      <c r="A36" s="133"/>
      <c r="B36" s="133"/>
      <c r="C36" s="133"/>
      <c r="D36" s="134"/>
      <c r="E36" s="134"/>
      <c r="F36" s="134"/>
      <c r="G36" s="134"/>
      <c r="H36" s="134"/>
    </row>
    <row r="37" spans="1:9" x14ac:dyDescent="0.3">
      <c r="A37" s="18" t="str">
        <f>Dist3</f>
        <v>Endeavour</v>
      </c>
    </row>
    <row r="38" spans="1:9" x14ac:dyDescent="0.3">
      <c r="A38" s="17" t="str">
        <f>A23</f>
        <v>Wholesale</v>
      </c>
      <c r="B38" s="17" t="s">
        <v>43</v>
      </c>
      <c r="C38" s="17" t="s">
        <v>63</v>
      </c>
      <c r="D38" s="107">
        <f ca="1">IF(LEFT($A$37,5)="blank",0,VLOOKUP($B$2,dist3wholesale,COLUMN(D38),FALSE)*'Input Global'!D20)</f>
        <v>54537</v>
      </c>
      <c r="E38" s="107">
        <f ca="1">IF(LEFT($A$37,5)="blank",0,VLOOKUP($B$2,dist3wholesale,COLUMN(E38),FALSE)*'Input Global'!E20)</f>
        <v>54831</v>
      </c>
      <c r="F38" s="107">
        <f ca="1">IF(LEFT($A$37,5)="blank",0,VLOOKUP($B$2,dist3wholesale,COLUMN(F38),FALSE)*'Input Global'!F20)</f>
        <v>55885.2</v>
      </c>
      <c r="G38" s="107">
        <f ca="1">IF(LEFT($A$37,5)="blank",0,VLOOKUP($B$2,dist3wholesale,COLUMN(G38),FALSE)*'Input Global'!G20)</f>
        <v>51690.914957105851</v>
      </c>
      <c r="H38" s="107">
        <f ca="1">IF(LEFT($A$37,5)="blank",0,VLOOKUP($B$2,dist3wholesale,COLUMN(H38),FALSE)*'Input Global'!H20)</f>
        <v>52641.224088441966</v>
      </c>
    </row>
    <row r="39" spans="1:9" x14ac:dyDescent="0.3">
      <c r="A39" s="17" t="str">
        <f t="shared" ref="A39:A49" si="3">A24</f>
        <v>Transmission</v>
      </c>
      <c r="B39" s="17" t="s">
        <v>43</v>
      </c>
      <c r="C39" s="17" t="s">
        <v>63</v>
      </c>
      <c r="D39" s="107">
        <f>IF(LEFT($A$37,5)="blank",0,'Input General'!D20+(SUMPRODUCT('Input General'!D21:D24,'Input General'!D83:D86)*'Input Global'!D$20))</f>
        <v>8745.7830217251831</v>
      </c>
      <c r="E39" s="107">
        <f>IF(LEFT($A$37,5)="blank",0,'Input General'!E20+(SUMPRODUCT('Input General'!E21:E24,'Input General'!E83:E86)*'Input Global'!E$20))</f>
        <v>8809.520747888615</v>
      </c>
      <c r="F39" s="107">
        <f>IF(LEFT($A$37,5)="blank",0,'Input General'!F20+(SUMPRODUCT('Input General'!F21:F24,'Input General'!F83:F86)*'Input Global'!F$20))</f>
        <v>9954.4943532067391</v>
      </c>
      <c r="G39" s="107">
        <f>IF(LEFT($A$37,5)="blank",0,'Input General'!G20+(SUMPRODUCT('Input General'!G21:G24,'Input General'!G83:G86)*'Input Global'!G$20))</f>
        <v>10647.989153737328</v>
      </c>
      <c r="H39" s="107">
        <f>IF(LEFT($A$37,5)="blank",0,'Input General'!H20+(SUMPRODUCT('Input General'!H21:H24,'Input General'!H83:H86)*'Input Global'!H$20))</f>
        <v>11389.797311159626</v>
      </c>
    </row>
    <row r="40" spans="1:9" x14ac:dyDescent="0.3">
      <c r="A40" s="17" t="str">
        <f t="shared" si="3"/>
        <v>Distribution</v>
      </c>
      <c r="B40" s="17" t="s">
        <v>43</v>
      </c>
      <c r="C40" s="17" t="s">
        <v>63</v>
      </c>
      <c r="D40" s="107">
        <f>IF(LEFT($A$37,5)="blank",0,'Input General'!D40+SUMPRODUCT('Input General'!D41:D44,'Input General'!D83:D86)*'Input Global'!D$20+'Input General'!D49)</f>
        <v>67530.028345028171</v>
      </c>
      <c r="E40" s="107">
        <f>IF(LEFT($A$37,5)="blank",0,'Input General'!E40+SUMPRODUCT('Input General'!E41:E44,'Input General'!E83:E86)*'Input Global'!E$20+'Input General'!E49)</f>
        <v>78929.222741037331</v>
      </c>
      <c r="F40" s="107">
        <f>IF(LEFT($A$37,5)="blank",0,'Input General'!F40+SUMPRODUCT('Input General'!F41:F44,'Input General'!F83:F86)*'Input Global'!F$20+'Input General'!F49)</f>
        <v>56892.195610554503</v>
      </c>
      <c r="G40" s="107">
        <f>IF(LEFT($A$37,5)="blank",0,'Input General'!G40+SUMPRODUCT('Input General'!G41:G44,'Input General'!G83:G86)*'Input Global'!G$20+'Input General'!G49)</f>
        <v>51078.609472204276</v>
      </c>
      <c r="H40" s="107">
        <f>IF(LEFT($A$37,5)="blank",0,'Input General'!H40+SUMPRODUCT('Input General'!H41:H44,'Input General'!H83:H86)*'Input Global'!H$20+'Input General'!H49)</f>
        <v>53202.805149009386</v>
      </c>
    </row>
    <row r="41" spans="1:9" x14ac:dyDescent="0.3">
      <c r="A41" s="17" t="str">
        <f t="shared" si="3"/>
        <v>Retail</v>
      </c>
      <c r="B41" s="17" t="s">
        <v>43</v>
      </c>
      <c r="C41" s="17" t="s">
        <v>63</v>
      </c>
      <c r="D41" s="107">
        <f>IF(LEFT($A$37,5)="blank",0,'Input General'!D98*'Input Global'!D$20)</f>
        <v>7980.0000000000009</v>
      </c>
      <c r="E41" s="107">
        <f>IF(LEFT($A$37,5)="blank",0,'Input General'!E98*'Input Global'!E$20)</f>
        <v>9240</v>
      </c>
      <c r="F41" s="107">
        <f>IF(LEFT($A$37,5)="blank",0,'Input General'!F98*'Input Global'!F$20)</f>
        <v>9686.2499999999982</v>
      </c>
      <c r="G41" s="107">
        <f>IF(LEFT($A$37,5)="blank",0,'Input General'!G98*'Input Global'!G$20)</f>
        <v>9928.4062499999964</v>
      </c>
      <c r="H41" s="107">
        <f>IF(LEFT($A$37,5)="blank",0,'Input General'!H98*'Input Global'!H$20)</f>
        <v>10176.616406249996</v>
      </c>
    </row>
    <row r="42" spans="1:9" x14ac:dyDescent="0.3">
      <c r="A42" s="17" t="str">
        <f t="shared" si="3"/>
        <v>Retail and Residual</v>
      </c>
      <c r="B42" s="17" t="s">
        <v>43</v>
      </c>
      <c r="C42" s="17" t="s">
        <v>63</v>
      </c>
      <c r="D42" s="107">
        <f ca="1">IF(LEFT($A$37,5)="blank",0,VLOOKUP($B$2,'Input General'!$A$155:$H$159,COLUMN(D27),FALSE)*'Input Global'!D$35)</f>
        <v>7677.6882138046822</v>
      </c>
      <c r="E42" s="107">
        <f ca="1">IF(LEFT($A$37,5)="blank",0,VLOOKUP($B$2,'Input General'!$A$155:$H$159,COLUMN(E27),FALSE)*'Input Global'!E$35)</f>
        <v>8664.5364347825889</v>
      </c>
      <c r="F42" s="107">
        <f ca="1">IF(LEFT($A$37,5)="blank",0,VLOOKUP($B$2,'Input General'!$A$155:$H$159,COLUMN(F27),FALSE)*'Input Global'!F$35)</f>
        <v>9839.6715580431064</v>
      </c>
      <c r="G42" s="107">
        <f ca="1">IF(LEFT($A$37,5)="blank",0,VLOOKUP($B$2,'Input General'!$A$155:$H$159,COLUMN(G27),FALSE)*'Input Global'!G$35)</f>
        <v>9568.8762731563784</v>
      </c>
      <c r="H42" s="107">
        <f ca="1">IF(LEFT($A$37,5)="blank",0,VLOOKUP($B$2,'Input General'!$A$155:$H$159,COLUMN(H27),FALSE)*'Input Global'!H$35)</f>
        <v>9827.9066686973256</v>
      </c>
    </row>
    <row r="43" spans="1:9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9" x14ac:dyDescent="0.3">
      <c r="A44" s="19" t="str">
        <f t="shared" si="3"/>
        <v>Feed-in Tariffs</v>
      </c>
      <c r="B44" s="17" t="s">
        <v>43</v>
      </c>
      <c r="C44" s="17" t="s">
        <v>63</v>
      </c>
      <c r="D44" s="107">
        <f>IF(LEFT($A$37,5)="blank",0,'Input General'!D65+SUMPRODUCT('Input General'!D66:D69,'Input General'!D83:D86)*'Input Global'!D$20)</f>
        <v>1594.6</v>
      </c>
      <c r="E44" s="107">
        <f>IF(LEFT($A$37,5)="blank",0,'Input General'!E65+SUMPRODUCT('Input General'!E66:E69,'Input General'!E83:E86)*'Input Global'!E$20)</f>
        <v>1605.9599329738458</v>
      </c>
      <c r="F44" s="107">
        <f>IF(LEFT($A$37,5)="blank",0,'Input General'!F65+SUMPRODUCT('Input General'!F66:F69,'Input General'!F83:F86)*'Input Global'!F$20)</f>
        <v>27453.999999999996</v>
      </c>
      <c r="G44" s="107">
        <f>IF(LEFT($A$37,5)="blank",0,'Input General'!G65+SUMPRODUCT('Input General'!G66:G69,'Input General'!G83:G86)*'Input Global'!G$20)</f>
        <v>33889.217599999989</v>
      </c>
      <c r="H44" s="107">
        <f>IF(LEFT($A$37,5)="blank",0,'Input General'!H65+SUMPRODUCT('Input General'!H66:H69,'Input General'!H83:H86)*'Input Global'!H$20)</f>
        <v>33889.217599999989</v>
      </c>
    </row>
    <row r="45" spans="1:9" x14ac:dyDescent="0.3">
      <c r="A45" s="19" t="str">
        <f t="shared" si="3"/>
        <v>Carbon costs</v>
      </c>
      <c r="B45" s="17" t="s">
        <v>43</v>
      </c>
      <c r="C45" s="17" t="s">
        <v>63</v>
      </c>
      <c r="D45" s="107">
        <f ca="1">IF(LEFT($A$37,5)="blank",0,VLOOKUP($B$2,'Input General'!$A$188:$H$192,COLUMN('Input General'!D188),FALSE)*'Input Global'!D$20)</f>
        <v>0</v>
      </c>
      <c r="E45" s="107">
        <f ca="1">IF(LEFT($A$37,5)="blank",0,VLOOKUP($B$2,'Input General'!$A$188:$H$192,COLUMN('Input General'!E188),FALSE)*'Input Global'!E$20)</f>
        <v>0</v>
      </c>
      <c r="F45" s="107">
        <f ca="1">IF(LEFT($A$37,5)="blank",0,VLOOKUP($B$2,'Input General'!$A$188:$H$192,COLUMN('Input General'!F188),FALSE)*'Input Global'!F$20)</f>
        <v>14097.999999999998</v>
      </c>
      <c r="G45" s="107">
        <f ca="1">IF(LEFT($A$37,5)="blank",0,VLOOKUP($B$2,'Input General'!$A$188:$H$192,COLUMN('Input General'!G188),FALSE)*'Input Global'!G$20)</f>
        <v>14794.588861571907</v>
      </c>
      <c r="H45" s="107">
        <f ca="1">IF(LEFT($A$37,5)="blank",0,VLOOKUP($B$2,'Input General'!$A$188:$H$192,COLUMN('Input General'!H188),FALSE)*'Input Global'!H$20)</f>
        <v>15553.356315103101</v>
      </c>
    </row>
    <row r="46" spans="1:9" x14ac:dyDescent="0.3">
      <c r="A46" s="19" t="str">
        <f t="shared" si="3"/>
        <v>Large Scale Renewable Energy Target</v>
      </c>
      <c r="B46" s="17" t="s">
        <v>43</v>
      </c>
      <c r="C46" s="17" t="s">
        <v>63</v>
      </c>
      <c r="D46" s="107">
        <f ca="1">IF(LEFT($A$37,5)="blank",0,VLOOKUP($B$2,'Input General'!$A227:$H232,COLUMN(D16),FALSE)*'Input Global'!D20)</f>
        <v>1288</v>
      </c>
      <c r="E46" s="107">
        <f ca="1">IF(LEFT($A$37,5)="blank",0,VLOOKUP($B$2,'Input General'!$A227:$H232,COLUMN(E16),FALSE)*'Input Global'!E20)</f>
        <v>1894.2</v>
      </c>
      <c r="F46" s="107">
        <f ca="1">IF(LEFT($A$37,5)="blank",0,VLOOKUP($B$2,'Input General'!$A227:$H232,COLUMN(F16),FALSE)*'Input Global'!F20)</f>
        <v>3199</v>
      </c>
      <c r="G46" s="107">
        <f ca="1">IF(LEFT($A$37,5)="blank",0,VLOOKUP($B$2,'Input General'!$A227:$H232,COLUMN(G16),FALSE)*'Input Global'!G20)</f>
        <v>3427.9093687316399</v>
      </c>
      <c r="H46" s="107">
        <f ca="1">IF(LEFT($A$37,5)="blank",0,VLOOKUP($B$2,'Input General'!$A227:$H232,COLUMN(H16),FALSE)*'Input Global'!H20)</f>
        <v>3630.0071236762269</v>
      </c>
    </row>
    <row r="47" spans="1:9" x14ac:dyDescent="0.3">
      <c r="A47" s="19" t="str">
        <f t="shared" si="3"/>
        <v>Small Scale Renewable Energy Scheme</v>
      </c>
      <c r="B47" s="17" t="s">
        <v>43</v>
      </c>
      <c r="C47" s="17" t="s">
        <v>63</v>
      </c>
      <c r="D47" s="107">
        <f ca="1">IF(LEFT($A$37,5)="blank",0,'Input General'!D99*'Input Global'!D$20)</f>
        <v>0</v>
      </c>
      <c r="E47" s="107">
        <f ca="1">IF(LEFT($A$37,5)="blank",0,'Input General'!E99*'Input Global'!E$20)</f>
        <v>4362.3999999999996</v>
      </c>
      <c r="F47" s="107">
        <f ca="1">IF(LEFT($A$37,5)="blank",0,'Input General'!F99*'Input Global'!F$20)</f>
        <v>3961.9999999999995</v>
      </c>
      <c r="G47" s="107">
        <f ca="1">IF(LEFT($A$37,5)="blank",0,'Input General'!G99*'Input Global'!G$20)</f>
        <v>1743.7768025078367</v>
      </c>
      <c r="H47" s="107">
        <f ca="1">IF(LEFT($A$37,5)="blank",0,'Input General'!H99*'Input Global'!H$20)</f>
        <v>1515.2476489028213</v>
      </c>
    </row>
    <row r="48" spans="1:9" x14ac:dyDescent="0.3">
      <c r="A48" s="19" t="str">
        <f t="shared" si="3"/>
        <v>Energy savings</v>
      </c>
      <c r="B48" s="17" t="s">
        <v>43</v>
      </c>
      <c r="C48" s="17" t="s">
        <v>63</v>
      </c>
      <c r="D48" s="107">
        <f ca="1">IF(LEFT($A$37,5)="blank",0,VLOOKUP($B$2,'Input General'!$A$115:$H$119,COLUMN(D33),FALSE)*'Input Global'!D$20)</f>
        <v>503.99999999999994</v>
      </c>
      <c r="E48" s="107">
        <f ca="1">IF(LEFT($A$37,5)="blank",0,VLOOKUP($B$2,'Input General'!$A$115:$H$119,COLUMN(E33),FALSE)*'Input Global'!E$20)</f>
        <v>782.07500000000005</v>
      </c>
      <c r="F48" s="107">
        <f ca="1">IF(LEFT($A$37,5)="blank",0,VLOOKUP($B$2,'Input General'!$A$115:$H$119,COLUMN(F33),FALSE)*'Input Global'!F$20)</f>
        <v>1085</v>
      </c>
      <c r="G48" s="107">
        <f ca="1">IF(LEFT($A$37,5)="blank",0,VLOOKUP($B$2,'Input General'!$A$115:$H$119,COLUMN(G33),FALSE)*'Input Global'!G$20)</f>
        <v>0</v>
      </c>
      <c r="H48" s="107">
        <f ca="1">IF(LEFT($A$37,5)="blank",0,VLOOKUP($B$2,'Input General'!$A$115:$H$119,COLUMN(H33),FALSE)*'Input Global'!H$20)</f>
        <v>0</v>
      </c>
    </row>
    <row r="49" spans="1:8" x14ac:dyDescent="0.3">
      <c r="A49" s="19" t="str">
        <f t="shared" si="3"/>
        <v>Blank</v>
      </c>
      <c r="B49" s="17" t="s">
        <v>43</v>
      </c>
      <c r="C49" s="17" t="s">
        <v>63</v>
      </c>
      <c r="D49" s="107">
        <f ca="1">IF(LEFT($A$37,5)="blank",0,VLOOKUP($B$2,'Input General'!$A$135:$H$139,COLUMN(D49),FALSE)*'Input Global'!D$20)</f>
        <v>0</v>
      </c>
      <c r="E49" s="107">
        <f ca="1">IF(LEFT($A$37,5)="blank",0,VLOOKUP($B$2,'Input General'!$A$135:$H$139,COLUMN(E49),FALSE)*'Input Global'!E$20)</f>
        <v>0</v>
      </c>
      <c r="F49" s="107">
        <f ca="1">IF(LEFT($A$37,5)="blank",0,VLOOKUP($B$2,'Input General'!$A$135:$H$139,COLUMN(F49),FALSE)*'Input Global'!F$20)</f>
        <v>0</v>
      </c>
      <c r="G49" s="107">
        <f ca="1">IF(LEFT($A$37,5)="blank",0,VLOOKUP($B$2,'Input General'!$A$135:$H$139,COLUMN(G49),FALSE)*'Input Global'!G$20)</f>
        <v>0</v>
      </c>
      <c r="H49" s="107">
        <f ca="1">IF(LEFT($A$37,5)="blank",0,VLOOKUP($B$2,'Input General'!$A$135:$H$139,COLUMN(H49),FALSE)*'Input Global'!H$20)</f>
        <v>0</v>
      </c>
    </row>
    <row r="50" spans="1:8" x14ac:dyDescent="0.3">
      <c r="A50" s="20" t="s">
        <v>61</v>
      </c>
      <c r="B50" s="20" t="s">
        <v>43</v>
      </c>
      <c r="C50" s="20" t="s">
        <v>63</v>
      </c>
      <c r="D50" s="107">
        <f ca="1">SUM(D38:D49)</f>
        <v>149857.09958055805</v>
      </c>
      <c r="E50" s="107">
        <f t="shared" ref="E50:H50" ca="1" si="4">SUM(E38:E49)</f>
        <v>169118.91485668239</v>
      </c>
      <c r="F50" s="107">
        <f t="shared" ca="1" si="4"/>
        <v>192055.81152180434</v>
      </c>
      <c r="G50" s="107">
        <f t="shared" ca="1" si="4"/>
        <v>186770.28873901523</v>
      </c>
      <c r="H50" s="107">
        <f t="shared" ca="1" si="4"/>
        <v>191826.17831124045</v>
      </c>
    </row>
    <row r="51" spans="1:8" hidden="1" x14ac:dyDescent="0.3">
      <c r="A51" s="133"/>
      <c r="B51" s="133"/>
      <c r="C51" s="133"/>
      <c r="D51" s="134"/>
      <c r="E51" s="134"/>
      <c r="F51" s="134"/>
      <c r="G51" s="134"/>
      <c r="H51" s="134"/>
    </row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B53" s="17" t="s">
        <v>43</v>
      </c>
      <c r="C53" s="17" t="s">
        <v>63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B54" s="17" t="s">
        <v>43</v>
      </c>
      <c r="C54" s="17" t="s">
        <v>63</v>
      </c>
      <c r="D54" s="107">
        <f>IF(LEFT($A$52,5)="blank",0,'Input General'!#REF!+(SUMPRODUCT('Input General'!#REF!,'Input General'!#REF!)*'Input Global'!D$21))</f>
        <v>0</v>
      </c>
      <c r="E54" s="107">
        <f>IF(LEFT($A$52,5)="blank",0,'Input General'!#REF!+(SUMPRODUCT('Input General'!#REF!,'Input General'!#REF!)*'Input Global'!E$21))</f>
        <v>0</v>
      </c>
      <c r="F54" s="107">
        <f>IF(LEFT($A$52,5)="blank",0,'Input General'!#REF!+(SUMPRODUCT('Input General'!#REF!,'Input General'!#REF!)*'Input Global'!F$21))</f>
        <v>0</v>
      </c>
      <c r="G54" s="107">
        <f>IF(LEFT($A$52,5)="blank",0,'Input General'!#REF!+(SUMPRODUCT('Input General'!#REF!,'Input General'!#REF!)*'Input Global'!G$21))</f>
        <v>0</v>
      </c>
      <c r="H54" s="107">
        <f>IF(LEFT($A$52,5)="blank",0,'Input General'!#REF!+(SUMPRODUCT('Input General'!#REF!,'Input General'!#REF!)*'Input Global'!H$21))</f>
        <v>0</v>
      </c>
    </row>
    <row r="55" spans="1:8" hidden="1" x14ac:dyDescent="0.3">
      <c r="A55" s="17" t="str">
        <f t="shared" si="5"/>
        <v>Distribution</v>
      </c>
      <c r="B55" s="17" t="s">
        <v>43</v>
      </c>
      <c r="C55" s="17" t="s">
        <v>63</v>
      </c>
      <c r="D55" s="107">
        <f>IF(LEFT($A$52,5)="blank",0,'Input General'!#REF!+SUMPRODUCT('Input General'!#REF!,'Input General'!#REF!)*'Input Global'!D$21+'Input General'!#REF!)</f>
        <v>0</v>
      </c>
      <c r="E55" s="107">
        <f>IF(LEFT($A$52,5)="blank",0,'Input General'!#REF!+SUMPRODUCT('Input General'!#REF!,'Input General'!#REF!)*'Input Global'!E$21+'Input General'!#REF!)</f>
        <v>0</v>
      </c>
      <c r="F55" s="107">
        <f>IF(LEFT($A$52,5)="blank",0,'Input General'!#REF!+SUMPRODUCT('Input General'!#REF!,'Input General'!#REF!)*'Input Global'!F$21+'Input General'!#REF!)</f>
        <v>0</v>
      </c>
      <c r="G55" s="107">
        <f>IF(LEFT($A$52,5)="blank",0,'Input General'!#REF!+SUMPRODUCT('Input General'!#REF!,'Input General'!#REF!)*'Input Global'!G$21+'Input General'!#REF!)</f>
        <v>0</v>
      </c>
      <c r="H55" s="107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s="17" t="str">
        <f t="shared" si="5"/>
        <v>Retail</v>
      </c>
      <c r="B56" s="17" t="s">
        <v>43</v>
      </c>
      <c r="C56" s="17" t="s">
        <v>63</v>
      </c>
      <c r="D56" s="107">
        <f>IF(LEFT($A$52,5)="blank",0,'Input General'!#REF!*'Input Global'!D$21)</f>
        <v>0</v>
      </c>
      <c r="E56" s="107">
        <f>IF(LEFT($A$52,5)="blank",0,'Input General'!#REF!*'Input Global'!E$21)</f>
        <v>0</v>
      </c>
      <c r="F56" s="107">
        <f>IF(LEFT($A$52,5)="blank",0,'Input General'!#REF!*'Input Global'!F$21)</f>
        <v>0</v>
      </c>
      <c r="G56" s="107">
        <f>IF(LEFT($A$52,5)="blank",0,'Input General'!#REF!*'Input Global'!G$21)</f>
        <v>0</v>
      </c>
      <c r="H56" s="107">
        <f>IF(LEFT($A$52,5)="blank",0,'Input General'!#REF!*'Input Global'!H$21)</f>
        <v>0</v>
      </c>
    </row>
    <row r="57" spans="1:8" hidden="1" x14ac:dyDescent="0.3">
      <c r="A57" s="17" t="str">
        <f t="shared" si="5"/>
        <v>Retail and Residual</v>
      </c>
      <c r="B57" s="17" t="s">
        <v>43</v>
      </c>
      <c r="C57" s="17" t="s">
        <v>63</v>
      </c>
      <c r="D57" s="107">
        <f>IF(LEFT($A$52,5)="blank",0,VLOOKUP($B$2,'Input General'!$A$161:$H$165,COLUMN(D57),FALSE)*'Input Global'!D$36)</f>
        <v>0</v>
      </c>
      <c r="E57" s="107">
        <f>IF(LEFT($A$52,5)="blank",0,VLOOKUP($B$2,'Input General'!$A$161:$H$165,COLUMN(E57),FALSE)*'Input Global'!E$36)</f>
        <v>0</v>
      </c>
      <c r="F57" s="107">
        <f>IF(LEFT($A$52,5)="blank",0,VLOOKUP($B$2,'Input General'!$A$161:$H$165,COLUMN(F57),FALSE)*'Input Global'!F$36)</f>
        <v>0</v>
      </c>
      <c r="G57" s="107">
        <f>IF(LEFT($A$52,5)="blank",0,VLOOKUP($B$2,'Input General'!$A$161:$H$165,COLUMN(G57),FALSE)*'Input Global'!G$36)</f>
        <v>0</v>
      </c>
      <c r="H57" s="107">
        <f>IF(LEFT($A$52,5)="blank",0,VLOOKUP($B$2,'Input General'!$A$161:$H$165,COLUMN(H57),FALSE)*'Input Global'!H$36)</f>
        <v>0</v>
      </c>
    </row>
    <row r="58" spans="1:8" hidden="1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9" t="str">
        <f t="shared" si="5"/>
        <v>Feed-in Tariffs</v>
      </c>
      <c r="B59" s="17" t="s">
        <v>43</v>
      </c>
      <c r="C59" s="17" t="s">
        <v>63</v>
      </c>
      <c r="D59" s="107">
        <f>IF(LEFT($A$52,5)="blank",0,'Input General'!#REF!+SUMPRODUCT('Input General'!#REF!,'Input General'!#REF!)*'Input Global'!D$21)</f>
        <v>0</v>
      </c>
      <c r="E59" s="107">
        <f>IF(LEFT($A$52,5)="blank",0,'Input General'!#REF!+SUMPRODUCT('Input General'!#REF!,'Input General'!#REF!)*'Input Global'!E$21)</f>
        <v>0</v>
      </c>
      <c r="F59" s="107">
        <f>IF(LEFT($A$52,5)="blank",0,'Input General'!#REF!+SUMPRODUCT('Input General'!#REF!,'Input General'!#REF!)*'Input Global'!F$21)</f>
        <v>0</v>
      </c>
      <c r="G59" s="107">
        <f>IF(LEFT($A$52,5)="blank",0,'Input General'!#REF!+SUMPRODUCT('Input General'!#REF!,'Input General'!#REF!)*'Input Global'!G$21)</f>
        <v>0</v>
      </c>
      <c r="H59" s="107">
        <f>IF(LEFT($A$52,5)="blank",0,'Input General'!#REF!+SUMPRODUCT('Input General'!#REF!,'Input General'!#REF!)*'Input Global'!H$21)</f>
        <v>0</v>
      </c>
    </row>
    <row r="60" spans="1:8" hidden="1" x14ac:dyDescent="0.3">
      <c r="A60" s="19" t="str">
        <f t="shared" si="5"/>
        <v>Carbon costs</v>
      </c>
      <c r="B60" s="17" t="s">
        <v>43</v>
      </c>
      <c r="C60" s="17" t="s">
        <v>63</v>
      </c>
      <c r="D60" s="107">
        <f>IF(LEFT($A$52,5)="blank",0,VLOOKUP($B$2,'Input General'!#REF!,COLUMN(D60),FALSE)*'Input Global'!D$21)</f>
        <v>0</v>
      </c>
      <c r="E60" s="107">
        <f>IF(LEFT($A$52,5)="blank",0,VLOOKUP($B$2,'Input General'!#REF!,COLUMN(E60),FALSE)*'Input Global'!E$21)</f>
        <v>0</v>
      </c>
      <c r="F60" s="107">
        <f>IF(LEFT($A$52,5)="blank",0,VLOOKUP($B$2,'Input General'!#REF!,COLUMN(F60),FALSE)*'Input Global'!F$21)</f>
        <v>0</v>
      </c>
      <c r="G60" s="107">
        <f>IF(LEFT($A$52,5)="blank",0,VLOOKUP($B$2,'Input General'!#REF!,COLUMN(G60),FALSE)*'Input Global'!G$21)</f>
        <v>0</v>
      </c>
      <c r="H60" s="107">
        <f>IF(LEFT($A$52,5)="blank",0,VLOOKUP($B$2,'Input General'!#REF!,COLUMN(H60),FALSE)*'Input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B61" s="17" t="s">
        <v>43</v>
      </c>
      <c r="C61" s="17" t="s">
        <v>63</v>
      </c>
      <c r="D61" s="107">
        <f>IF(LEFT($A$52,5)="blank",0,VLOOKUP($B$2,'Input General'!#REF!,COLUMN(D61),FALSE)*'Input Global'!D21)</f>
        <v>0</v>
      </c>
      <c r="E61" s="107">
        <f>IF(LEFT($A$52,5)="blank",0,VLOOKUP($B$2,'Input General'!#REF!,COLUMN(E61),FALSE)*'Input Global'!E21)</f>
        <v>0</v>
      </c>
      <c r="F61" s="107">
        <f>IF(LEFT($A$52,5)="blank",0,VLOOKUP($B$2,'Input General'!#REF!,COLUMN(F61),FALSE)*'Input Global'!F21)</f>
        <v>0</v>
      </c>
      <c r="G61" s="107">
        <f>IF(LEFT($A$52,5)="blank",0,VLOOKUP($B$2,'Input General'!#REF!,COLUMN(G61),FALSE)*'Input Global'!G21)</f>
        <v>0</v>
      </c>
      <c r="H61" s="107">
        <f>IF(LEFT($A$52,5)="blank",0,VLOOKUP($B$2,'Input General'!#REF!,COLUMN(H61),FALSE)*'Input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B62" s="17" t="s">
        <v>43</v>
      </c>
      <c r="C62" s="17" t="s">
        <v>63</v>
      </c>
      <c r="D62" s="107">
        <f>IF(LEFT($A$52,5)="blank",0,'Input General'!#REF!*'Input Global'!D$21)</f>
        <v>0</v>
      </c>
      <c r="E62" s="107">
        <f>IF(LEFT($A$52,5)="blank",0,'Input General'!#REF!*'Input Global'!E$21)</f>
        <v>0</v>
      </c>
      <c r="F62" s="107">
        <f>IF(LEFT($A$52,5)="blank",0,'Input General'!#REF!*'Input Global'!F$21)</f>
        <v>0</v>
      </c>
      <c r="G62" s="107">
        <f>IF(LEFT($A$52,5)="blank",0,'Input General'!#REF!*'Input Global'!G$21)</f>
        <v>0</v>
      </c>
      <c r="H62" s="107">
        <f>IF(LEFT($A$52,5)="blank",0,'Input General'!#REF!*'Input Global'!H$21)</f>
        <v>0</v>
      </c>
    </row>
    <row r="63" spans="1:8" hidden="1" x14ac:dyDescent="0.3">
      <c r="A63" s="19" t="str">
        <f t="shared" si="5"/>
        <v>Energy savings</v>
      </c>
      <c r="B63" s="17" t="s">
        <v>43</v>
      </c>
      <c r="C63" s="17" t="s">
        <v>63</v>
      </c>
      <c r="D63" s="107">
        <f>IF(LEFT($A$52,5)="blank",0,VLOOKUP($B$2,'Input General'!#REF!,COLUMN(D48),FALSE)*'Input Global'!D$21)</f>
        <v>0</v>
      </c>
      <c r="E63" s="107">
        <f>IF(LEFT($A$52,5)="blank",0,VLOOKUP($B$2,'Input General'!#REF!,COLUMN(E48),FALSE)*'Input Global'!E$21)</f>
        <v>0</v>
      </c>
      <c r="F63" s="107">
        <f>IF(LEFT($A$52,5)="blank",0,VLOOKUP($B$2,'Input General'!#REF!,COLUMN(F48),FALSE)*'Input Global'!F$21)</f>
        <v>0</v>
      </c>
      <c r="G63" s="107">
        <f>IF(LEFT($A$52,5)="blank",0,VLOOKUP($B$2,'Input General'!#REF!,COLUMN(G48),FALSE)*'Input Global'!G$21)</f>
        <v>0</v>
      </c>
      <c r="H63" s="107">
        <f>IF(LEFT($A$52,5)="blank",0,VLOOKUP($B$2,'Input General'!#REF!,COLUMN(H48),FALSE)*'Input Global'!H$21)</f>
        <v>0</v>
      </c>
    </row>
    <row r="64" spans="1:8" hidden="1" x14ac:dyDescent="0.3">
      <c r="A64" s="19" t="str">
        <f t="shared" si="5"/>
        <v>Blank</v>
      </c>
      <c r="B64" s="17" t="s">
        <v>43</v>
      </c>
      <c r="C64" s="17" t="s">
        <v>63</v>
      </c>
      <c r="D64" s="107">
        <f>IF(LEFT($A$52,5)="blank",0,VLOOKUP($B$2,'Input General'!#REF!,COLUMN(D64),FALSE)*'Input Global'!D$21)</f>
        <v>0</v>
      </c>
      <c r="E64" s="107">
        <f>IF(LEFT($A$52,5)="blank",0,VLOOKUP($B$2,'Input General'!#REF!,COLUMN(E64),FALSE)*'Input Global'!E$21)</f>
        <v>0</v>
      </c>
      <c r="F64" s="107">
        <f>IF(LEFT($A$52,5)="blank",0,VLOOKUP($B$2,'Input General'!#REF!,COLUMN(F64),FALSE)*'Input Global'!F$21)</f>
        <v>0</v>
      </c>
      <c r="G64" s="107">
        <f>IF(LEFT($A$52,5)="blank",0,VLOOKUP($B$2,'Input General'!#REF!,COLUMN(G64),FALSE)*'Input Global'!G$21)</f>
        <v>0</v>
      </c>
      <c r="H64" s="107">
        <f>IF(LEFT($A$52,5)="blank",0,VLOOKUP($B$2,'Input General'!#REF!,COLUMN(H64),FALSE)*'Input Global'!H$21)</f>
        <v>0</v>
      </c>
    </row>
    <row r="65" spans="1:8" hidden="1" x14ac:dyDescent="0.3">
      <c r="A65" s="20" t="s">
        <v>61</v>
      </c>
      <c r="B65" s="20" t="s">
        <v>43</v>
      </c>
      <c r="C65" s="20" t="s">
        <v>63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A66" s="133"/>
      <c r="B66" s="133"/>
      <c r="C66" s="133"/>
      <c r="D66" s="134"/>
      <c r="E66" s="134"/>
      <c r="F66" s="134"/>
      <c r="G66" s="134"/>
      <c r="H66" s="134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B68" s="17" t="s">
        <v>43</v>
      </c>
      <c r="C68" s="17" t="s">
        <v>63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B69" s="17" t="s">
        <v>43</v>
      </c>
      <c r="C69" s="17" t="s">
        <v>63</v>
      </c>
      <c r="D69" s="107">
        <f>IF(LEFT($A$67,5)="blank",0,'Input General'!#REF!+(SUMPRODUCT('Input General'!#REF!,'Input General'!#REF!)*'Input Global'!D$22))</f>
        <v>0</v>
      </c>
      <c r="E69" s="107">
        <f>IF(LEFT($A$67,5)="blank",0,'Input General'!#REF!+(SUMPRODUCT('Input General'!#REF!,'Input General'!#REF!)*'Input Global'!E$22))</f>
        <v>0</v>
      </c>
      <c r="F69" s="107">
        <f>IF(LEFT($A$67,5)="blank",0,'Input General'!#REF!+(SUMPRODUCT('Input General'!#REF!,'Input General'!#REF!)*'Input Global'!F$22))</f>
        <v>0</v>
      </c>
      <c r="G69" s="107">
        <f>IF(LEFT($A$67,5)="blank",0,'Input General'!#REF!+(SUMPRODUCT('Input General'!#REF!,'Input General'!#REF!)*'Input Global'!G$22))</f>
        <v>0</v>
      </c>
      <c r="H69" s="107">
        <f>IF(LEFT($A$67,5)="blank",0,'Input General'!#REF!+(SUMPRODUCT('Input General'!#REF!,'Input General'!#REF!)*'Input Global'!H$22))</f>
        <v>0</v>
      </c>
    </row>
    <row r="70" spans="1:8" hidden="1" x14ac:dyDescent="0.3">
      <c r="A70" s="17" t="str">
        <f t="shared" si="7"/>
        <v>Distribution</v>
      </c>
      <c r="B70" s="17" t="s">
        <v>43</v>
      </c>
      <c r="C70" s="17" t="s">
        <v>63</v>
      </c>
      <c r="D70" s="107">
        <f>IF(LEFT($A$67,5)="blank",0,'Input General'!#REF!+SUMPRODUCT('Input General'!#REF!,'Input General'!#REF!)*'Input Global'!D$22+'Input General'!#REF!)</f>
        <v>0</v>
      </c>
      <c r="E70" s="107">
        <f>IF(LEFT($A$67,5)="blank",0,'Input General'!#REF!+SUMPRODUCT('Input General'!#REF!,'Input General'!#REF!)*'Input Global'!E$22+'Input General'!#REF!)</f>
        <v>0</v>
      </c>
      <c r="F70" s="107">
        <f>IF(LEFT($A$67,5)="blank",0,'Input General'!#REF!+SUMPRODUCT('Input General'!#REF!,'Input General'!#REF!)*'Input Global'!F$22+'Input General'!#REF!)</f>
        <v>0</v>
      </c>
      <c r="G70" s="107">
        <f>IF(LEFT($A$67,5)="blank",0,'Input General'!#REF!+SUMPRODUCT('Input General'!#REF!,'Input General'!#REF!)*'Input Global'!G$22+'Input General'!#REF!)</f>
        <v>0</v>
      </c>
      <c r="H70" s="107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s="17" t="str">
        <f t="shared" si="7"/>
        <v>Retail</v>
      </c>
      <c r="B71" s="17" t="s">
        <v>43</v>
      </c>
      <c r="C71" s="17" t="s">
        <v>63</v>
      </c>
      <c r="D71" s="107">
        <f>IF(LEFT($A$67,5)="blank",0,'Input General'!#REF!*'Input Global'!D$22)</f>
        <v>0</v>
      </c>
      <c r="E71" s="107">
        <f>IF(LEFT($A$67,5)="blank",0,'Input General'!#REF!*'Input Global'!E$22)</f>
        <v>0</v>
      </c>
      <c r="F71" s="107">
        <f>IF(LEFT($A$67,5)="blank",0,'Input General'!#REF!*'Input Global'!F$22)</f>
        <v>0</v>
      </c>
      <c r="G71" s="107">
        <f>IF(LEFT($A$67,5)="blank",0,'Input General'!#REF!*'Input Global'!G$22)</f>
        <v>0</v>
      </c>
      <c r="H71" s="107">
        <f>IF(LEFT($A$67,5)="blank",0,'Input General'!#REF!*'Input Global'!H$22)</f>
        <v>0</v>
      </c>
    </row>
    <row r="72" spans="1:8" hidden="1" x14ac:dyDescent="0.3">
      <c r="A72" s="17" t="str">
        <f t="shared" si="7"/>
        <v>Retail and Residual</v>
      </c>
      <c r="B72" s="17" t="s">
        <v>43</v>
      </c>
      <c r="C72" s="17" t="s">
        <v>63</v>
      </c>
      <c r="D72" s="107">
        <f>IF(LEFT($A$67,5)="blank",0,VLOOKUP($B$2,'Input General'!$A$167:$H$171,COLUMN(D72),FALSE)*'Input Global'!D$37)</f>
        <v>0</v>
      </c>
      <c r="E72" s="107">
        <f>IF(LEFT($A$67,5)="blank",0,VLOOKUP($B$2,'Input General'!$A$167:$H$171,COLUMN(E72),FALSE)*'Input Global'!E$37)</f>
        <v>0</v>
      </c>
      <c r="F72" s="107">
        <f>IF(LEFT($A$67,5)="blank",0,VLOOKUP($B$2,'Input General'!$A$167:$H$171,COLUMN(F72),FALSE)*'Input Global'!F$37)</f>
        <v>0</v>
      </c>
      <c r="G72" s="107">
        <f>IF(LEFT($A$67,5)="blank",0,VLOOKUP($B$2,'Input General'!$A$167:$H$171,COLUMN(G72),FALSE)*'Input Global'!G$37)</f>
        <v>0</v>
      </c>
      <c r="H72" s="107">
        <f>IF(LEFT($A$67,5)="blank",0,VLOOKUP($B$2,'Input General'!$A$167:$H$171,COLUMN(H72),FALSE)*'Input Global'!H$37)</f>
        <v>0</v>
      </c>
    </row>
    <row r="73" spans="1:8" hidden="1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9" t="str">
        <f t="shared" si="7"/>
        <v>Feed-in Tariffs</v>
      </c>
      <c r="B74" s="17" t="s">
        <v>43</v>
      </c>
      <c r="C74" s="17" t="s">
        <v>63</v>
      </c>
      <c r="D74" s="107">
        <f>IF(LEFT($A$67,5)="blank",0,'Input General'!#REF!+SUMPRODUCT('Input General'!#REF!,'Input General'!#REF!)*'Input Global'!D$22)</f>
        <v>0</v>
      </c>
      <c r="E74" s="107">
        <f>IF(LEFT($A$67,5)="blank",0,'Input General'!#REF!+SUMPRODUCT('Input General'!#REF!,'Input General'!#REF!)*'Input Global'!E$22)</f>
        <v>0</v>
      </c>
      <c r="F74" s="107">
        <f>IF(LEFT($A$67,5)="blank",0,'Input General'!#REF!+SUMPRODUCT('Input General'!#REF!,'Input General'!#REF!)*'Input Global'!F$22)</f>
        <v>0</v>
      </c>
      <c r="G74" s="107">
        <f>IF(LEFT($A$67,5)="blank",0,'Input General'!#REF!+SUMPRODUCT('Input General'!#REF!,'Input General'!#REF!)*'Input Global'!G$22)</f>
        <v>0</v>
      </c>
      <c r="H74" s="107">
        <f>IF(LEFT($A$67,5)="blank",0,'Input General'!#REF!+SUMPRODUCT('Input General'!#REF!,'Input General'!#REF!)*'Input Global'!H$22)</f>
        <v>0</v>
      </c>
    </row>
    <row r="75" spans="1:8" hidden="1" x14ac:dyDescent="0.3">
      <c r="A75" s="19" t="str">
        <f t="shared" si="7"/>
        <v>Carbon costs</v>
      </c>
      <c r="B75" s="17" t="s">
        <v>43</v>
      </c>
      <c r="C75" s="17" t="s">
        <v>63</v>
      </c>
      <c r="D75" s="107">
        <f>IF(LEFT($A$67,5)="blank",0,VLOOKUP($B$2,'Input General'!#REF!,COLUMN(D75),FALSE)*'Input Global'!D$22)</f>
        <v>0</v>
      </c>
      <c r="E75" s="107">
        <f>IF(LEFT($A$67,5)="blank",0,VLOOKUP($B$2,'Input General'!#REF!,COLUMN(E75),FALSE)*'Input Global'!E$22)</f>
        <v>0</v>
      </c>
      <c r="F75" s="107">
        <f>IF(LEFT($A$67,5)="blank",0,VLOOKUP($B$2,'Input General'!#REF!,COLUMN(F75),FALSE)*'Input Global'!F$22)</f>
        <v>0</v>
      </c>
      <c r="G75" s="107">
        <f>IF(LEFT($A$67,5)="blank",0,VLOOKUP($B$2,'Input General'!#REF!,COLUMN(G75),FALSE)*'Input Global'!G$22)</f>
        <v>0</v>
      </c>
      <c r="H75" s="107">
        <f>IF(LEFT($A$67,5)="blank",0,VLOOKUP($B$2,'Input General'!#REF!,COLUMN(H75),FALSE)*'Input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B76" s="17" t="s">
        <v>43</v>
      </c>
      <c r="C76" s="17" t="s">
        <v>63</v>
      </c>
      <c r="D76" s="107">
        <f>IF(LEFT($A$67,5)="blank",0,VLOOKUP($B$2,'Input General'!#REF!,COLUMN(D76),FALSE)*'Input Global'!D22)</f>
        <v>0</v>
      </c>
      <c r="E76" s="107">
        <f>IF(LEFT($A$67,5)="blank",0,VLOOKUP($B$2,'Input General'!#REF!,COLUMN(E76),FALSE)*'Input Global'!E22)</f>
        <v>0</v>
      </c>
      <c r="F76" s="107">
        <f>IF(LEFT($A$67,5)="blank",0,VLOOKUP($B$2,'Input General'!#REF!,COLUMN(F76),FALSE)*'Input Global'!F22)</f>
        <v>0</v>
      </c>
      <c r="G76" s="107">
        <f>IF(LEFT($A$67,5)="blank",0,VLOOKUP($B$2,'Input General'!#REF!,COLUMN(G76),FALSE)*'Input Global'!G22)</f>
        <v>0</v>
      </c>
      <c r="H76" s="107">
        <f>IF(LEFT($A$67,5)="blank",0,VLOOKUP($B$2,'Input General'!#REF!,COLUMN(H76),FALSE)*'Input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B77" s="17" t="s">
        <v>43</v>
      </c>
      <c r="C77" s="17" t="s">
        <v>63</v>
      </c>
      <c r="D77" s="107">
        <f>IF(LEFT($A$67,5)="blank",0,'Input General'!#REF!*'Input Global'!D$22)</f>
        <v>0</v>
      </c>
      <c r="E77" s="107">
        <f>IF(LEFT($A$67,5)="blank",0,'Input General'!#REF!*'Input Global'!E$22)</f>
        <v>0</v>
      </c>
      <c r="F77" s="107">
        <f>IF(LEFT($A$67,5)="blank",0,'Input General'!#REF!*'Input Global'!F$22)</f>
        <v>0</v>
      </c>
      <c r="G77" s="107">
        <f>IF(LEFT($A$67,5)="blank",0,'Input General'!#REF!*'Input Global'!G$22)</f>
        <v>0</v>
      </c>
      <c r="H77" s="107">
        <f>IF(LEFT($A$67,5)="blank",0,'Input General'!#REF!*'Input Global'!H$22)</f>
        <v>0</v>
      </c>
    </row>
    <row r="78" spans="1:8" hidden="1" x14ac:dyDescent="0.3">
      <c r="A78" s="19" t="str">
        <f t="shared" si="7"/>
        <v>Energy savings</v>
      </c>
      <c r="B78" s="17" t="s">
        <v>43</v>
      </c>
      <c r="C78" s="17" t="s">
        <v>63</v>
      </c>
      <c r="D78" s="107">
        <f>IF(LEFT($A$67,5)="blank",0,VLOOKUP($B$2,'Input General'!#REF!,COLUMN(D78),FALSE)*'Input Global'!D$22)</f>
        <v>0</v>
      </c>
      <c r="E78" s="107">
        <f>IF(LEFT($A$67,5)="blank",0,VLOOKUP($B$2,'Input General'!#REF!,COLUMN(E78),FALSE)*'Input Global'!E$22)</f>
        <v>0</v>
      </c>
      <c r="F78" s="107">
        <f>IF(LEFT($A$67,5)="blank",0,VLOOKUP($B$2,'Input General'!#REF!,COLUMN(F78),FALSE)*'Input Global'!F$22)</f>
        <v>0</v>
      </c>
      <c r="G78" s="107">
        <f>IF(LEFT($A$67,5)="blank",0,VLOOKUP($B$2,'Input General'!#REF!,COLUMN(G78),FALSE)*'Input Global'!G$22)</f>
        <v>0</v>
      </c>
      <c r="H78" s="107">
        <f>IF(LEFT($A$67,5)="blank",0,VLOOKUP($B$2,'Input General'!#REF!,COLUMN(H78),FALSE)*'Input Global'!H$22)</f>
        <v>0</v>
      </c>
    </row>
    <row r="79" spans="1:8" hidden="1" x14ac:dyDescent="0.3">
      <c r="A79" s="19" t="str">
        <f t="shared" si="7"/>
        <v>Blank</v>
      </c>
      <c r="B79" s="17" t="s">
        <v>43</v>
      </c>
      <c r="C79" s="17" t="s">
        <v>63</v>
      </c>
      <c r="D79" s="107">
        <f>IF(LEFT($A$67,5)="blank",0,VLOOKUP($B$2,'Input General'!#REF!,COLUMN(D79),FALSE)*'Input Global'!D$22)</f>
        <v>0</v>
      </c>
      <c r="E79" s="107">
        <f>IF(LEFT($A$67,5)="blank",0,VLOOKUP($B$2,'Input General'!#REF!,COLUMN(E79),FALSE)*'Input Global'!E$22)</f>
        <v>0</v>
      </c>
      <c r="F79" s="107">
        <f>IF(LEFT($A$67,5)="blank",0,VLOOKUP($B$2,'Input General'!#REF!,COLUMN(F79),FALSE)*'Input Global'!F$22)</f>
        <v>0</v>
      </c>
      <c r="G79" s="107">
        <f>IF(LEFT($A$67,5)="blank",0,VLOOKUP($B$2,'Input General'!#REF!,COLUMN(G79),FALSE)*'Input Global'!G$22)</f>
        <v>0</v>
      </c>
      <c r="H79" s="107">
        <f>IF(LEFT($A$67,5)="blank",0,VLOOKUP($B$2,'Input General'!#REF!,COLUMN(H79),FALSE)*'Input Global'!H$22)</f>
        <v>0</v>
      </c>
    </row>
    <row r="80" spans="1:8" hidden="1" x14ac:dyDescent="0.3">
      <c r="A80" s="20" t="s">
        <v>61</v>
      </c>
      <c r="B80" s="20" t="s">
        <v>43</v>
      </c>
      <c r="C80" s="20" t="s">
        <v>63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x14ac:dyDescent="0.3">
      <c r="A81" s="133"/>
      <c r="B81" s="133"/>
      <c r="C81" s="133"/>
      <c r="D81" s="134"/>
      <c r="E81" s="134"/>
      <c r="F81" s="134"/>
      <c r="G81" s="134"/>
      <c r="H81" s="134"/>
    </row>
    <row r="82" spans="1:8" ht="18.75" x14ac:dyDescent="0.3">
      <c r="A82" s="16" t="s">
        <v>62</v>
      </c>
      <c r="B82" s="16" t="s">
        <v>48</v>
      </c>
      <c r="D82" s="103"/>
      <c r="E82" s="103"/>
      <c r="F82" s="103"/>
      <c r="G82" s="103"/>
      <c r="H82" s="103"/>
    </row>
    <row r="84" spans="1:8" x14ac:dyDescent="0.3">
      <c r="A84" s="18" t="str">
        <f>Dist1</f>
        <v xml:space="preserve">Ausgrid </v>
      </c>
    </row>
    <row r="85" spans="1:8" x14ac:dyDescent="0.3">
      <c r="A85" s="17" t="str">
        <f t="shared" ref="A85:A96" si="9">A68</f>
        <v>Wholesale</v>
      </c>
      <c r="B85" s="17" t="s">
        <v>43</v>
      </c>
      <c r="C85" s="17" t="s">
        <v>17</v>
      </c>
      <c r="D85" s="107">
        <f ca="1">IF(LEFT($A$84,5)="blank",0,D8/'Input Global'!D$18)</f>
        <v>7.44</v>
      </c>
      <c r="E85" s="107">
        <f ca="1">IF(LEFT($A$84,5)="blank",0,E8/'Input Global'!E$18)</f>
        <v>7.3639999999999999</v>
      </c>
      <c r="F85" s="107">
        <f ca="1">IF(LEFT($A$84,5)="blank",0,F8/'Input Global'!F$18)</f>
        <v>7.4432486500000001</v>
      </c>
      <c r="G85" s="107">
        <f ca="1">IF(LEFT($A$84,5)="blank",0,G8/'Input Global'!G$18)</f>
        <v>6.9699169661928035</v>
      </c>
      <c r="H85" s="107">
        <f ca="1">IF(LEFT($A$84,5)="blank",0,H8/'Input Global'!H$18)</f>
        <v>7.0968483462287297</v>
      </c>
    </row>
    <row r="86" spans="1:8" x14ac:dyDescent="0.3">
      <c r="A86" s="17" t="str">
        <f t="shared" si="9"/>
        <v>Transmission</v>
      </c>
      <c r="B86" s="17" t="s">
        <v>43</v>
      </c>
      <c r="C86" s="17" t="s">
        <v>17</v>
      </c>
      <c r="D86" s="107">
        <f>IF(LEFT($A$84,5)="blank",0,D9/'Input Global'!D$18)</f>
        <v>1.9490566651938903</v>
      </c>
      <c r="E86" s="107">
        <f>IF(LEFT($A$84,5)="blank",0,E9/'Input Global'!E$18)</f>
        <v>2.4407873031375846</v>
      </c>
      <c r="F86" s="107">
        <f>IF(LEFT($A$84,5)="blank",0,F9/'Input Global'!F$18)</f>
        <v>4.9359206103405233</v>
      </c>
      <c r="G86" s="107">
        <f>IF(LEFT($A$84,5)="blank",0,G9/'Input Global'!G$18)</f>
        <v>5.2797889332955936</v>
      </c>
      <c r="H86" s="107">
        <f>IF(LEFT($A$84,5)="blank",0,H9/'Input Global'!H$18)</f>
        <v>5.6476133594513964</v>
      </c>
    </row>
    <row r="87" spans="1:8" x14ac:dyDescent="0.3">
      <c r="A87" s="17" t="str">
        <f t="shared" si="9"/>
        <v>Distribution</v>
      </c>
      <c r="B87" s="17" t="s">
        <v>43</v>
      </c>
      <c r="C87" s="17" t="s">
        <v>17</v>
      </c>
      <c r="D87" s="107">
        <f>IF(LEFT($A$84,5)="blank",0,D10/'Input Global'!D$18)</f>
        <v>8.898119164043699</v>
      </c>
      <c r="E87" s="107">
        <f>IF(LEFT($A$84,5)="blank",0,E10/'Input Global'!E$18)</f>
        <v>10.624721457519319</v>
      </c>
      <c r="F87" s="107">
        <f>IF(LEFT($A$84,5)="blank",0,F10/'Input Global'!F$18)</f>
        <v>10.573975353139822</v>
      </c>
      <c r="G87" s="107">
        <f>IF(LEFT($A$84,5)="blank",0,G10/'Input Global'!G$18)</f>
        <v>10.669627526073251</v>
      </c>
      <c r="H87" s="107">
        <f>IF(LEFT($A$84,5)="blank",0,H10/'Input Global'!H$18)</f>
        <v>10.948474345488579</v>
      </c>
    </row>
    <row r="88" spans="1:8" x14ac:dyDescent="0.3">
      <c r="A88" s="17" t="str">
        <f t="shared" si="9"/>
        <v>Retail</v>
      </c>
      <c r="B88" s="17" t="s">
        <v>43</v>
      </c>
      <c r="C88" s="17" t="s">
        <v>17</v>
      </c>
      <c r="D88" s="107">
        <f>IF(LEFT($A$84,5)="blank",0,D11/'Input Global'!D$18)</f>
        <v>1.41</v>
      </c>
      <c r="E88" s="107">
        <f>IF(LEFT($A$84,5)="blank",0,E11/'Input Global'!E$18)</f>
        <v>1.41</v>
      </c>
      <c r="F88" s="107">
        <f>IF(LEFT($A$84,5)="blank",0,F11/'Input Global'!F$18)</f>
        <v>1.476</v>
      </c>
      <c r="G88" s="107">
        <f>IF(LEFT($A$84,5)="blank",0,G11/'Input Global'!G$18)</f>
        <v>1.5128999999999999</v>
      </c>
      <c r="H88" s="107">
        <f>IF(LEFT($A$84,5)="blank",0,H11/'Input Global'!H$18)</f>
        <v>1.5507224999999996</v>
      </c>
    </row>
    <row r="89" spans="1:8" x14ac:dyDescent="0.3">
      <c r="A89" s="17" t="str">
        <f t="shared" si="9"/>
        <v>Retail and Residual</v>
      </c>
      <c r="B89" s="17" t="s">
        <v>43</v>
      </c>
      <c r="C89" s="17" t="s">
        <v>17</v>
      </c>
      <c r="D89" s="107">
        <f ca="1">IF(LEFT($A$84,5)="blank",0,D12/'Input Global'!D$18)</f>
        <v>1.0870294947788297</v>
      </c>
      <c r="E89" s="107">
        <f ca="1">IF(LEFT($A$84,5)="blank",0,E12/'Input Global'!E$18)</f>
        <v>1.2443333376906691</v>
      </c>
      <c r="F89" s="107">
        <f ca="1">IF(LEFT($A$84,5)="blank",0,F12/'Input Global'!F$18)</f>
        <v>1.5132831273790388</v>
      </c>
      <c r="G89" s="107">
        <f ca="1">IF(LEFT($A$84,5)="blank",0,G12/'Input Global'!G$18)</f>
        <v>1.5005885546995934</v>
      </c>
      <c r="H89" s="107">
        <f ca="1">IF(LEFT($A$84,5)="blank",0,H12/'Input Global'!H$18)</f>
        <v>1.5501587061423581</v>
      </c>
    </row>
    <row r="90" spans="1:8" x14ac:dyDescent="0.3">
      <c r="A90" s="17" t="str">
        <f t="shared" si="9"/>
        <v>Green Schemes</v>
      </c>
      <c r="C90" s="17" t="s">
        <v>17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B91" s="17" t="s">
        <v>43</v>
      </c>
      <c r="C91" s="17" t="s">
        <v>17</v>
      </c>
      <c r="D91" s="107">
        <f>IF(LEFT($A$84,5)="blank",0,D14/'Input Global'!D$18)</f>
        <v>0.17699999999999999</v>
      </c>
      <c r="E91" s="107">
        <f>IF(LEFT($A$84,5)="blank",0,E14/'Input Global'!E$18)</f>
        <v>0.19817619657770696</v>
      </c>
      <c r="F91" s="107">
        <f>IF(LEFT($A$84,5)="blank",0,F14/'Input Global'!F$18)</f>
        <v>0.39229200465000003</v>
      </c>
      <c r="G91" s="107">
        <f>IF(LEFT($A$84,5)="blank",0,G14/'Input Global'!G$18)</f>
        <v>0.48424525053995998</v>
      </c>
      <c r="H91" s="107">
        <f>IF(LEFT($A$84,5)="blank",0,H14/'Input Global'!H$18)</f>
        <v>0.48424525053995998</v>
      </c>
    </row>
    <row r="92" spans="1:8" x14ac:dyDescent="0.3">
      <c r="A92" s="19" t="str">
        <f t="shared" si="9"/>
        <v>Carbon costs</v>
      </c>
      <c r="B92" s="17" t="s">
        <v>43</v>
      </c>
      <c r="C92" s="17" t="s">
        <v>17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2.0428249999999997</v>
      </c>
      <c r="G92" s="107">
        <f ca="1">IF(LEFT($A$84,5)="blank",0,G15/'Input Global'!G$18)</f>
        <v>2.1433752084577535</v>
      </c>
      <c r="H92" s="107">
        <f ca="1">IF(LEFT($A$84,5)="blank",0,H15/'Input Global'!H$18)</f>
        <v>2.2529781822229795</v>
      </c>
    </row>
    <row r="93" spans="1:8" x14ac:dyDescent="0.3">
      <c r="A93" s="19" t="str">
        <f t="shared" si="9"/>
        <v>Large Scale Renewable Energy Target</v>
      </c>
      <c r="B93" s="17" t="s">
        <v>43</v>
      </c>
      <c r="C93" s="17" t="s">
        <v>17</v>
      </c>
      <c r="D93" s="107">
        <f ca="1">IF(LEFT($A$84,5)="blank",0,D16/'Input Global'!D$18)</f>
        <v>0.184</v>
      </c>
      <c r="E93" s="107">
        <f ca="1">IF(LEFT($A$84,5)="blank",0,E16/'Input Global'!E$18)</f>
        <v>0.27367499999999995</v>
      </c>
      <c r="F93" s="107">
        <f ca="1">IF(LEFT($A$84,5)="blank",0,F16/'Input Global'!F$18)</f>
        <v>0.45407499999999995</v>
      </c>
      <c r="G93" s="107">
        <f ca="1">IF(LEFT($A$84,5)="blank",0,G16/'Input Global'!G$18)</f>
        <v>0.48656703551322888</v>
      </c>
      <c r="H93" s="107">
        <f ca="1">IF(LEFT($A$84,5)="blank",0,H16/'Input Global'!H$18)</f>
        <v>0.51525335563716224</v>
      </c>
    </row>
    <row r="94" spans="1:8" x14ac:dyDescent="0.3">
      <c r="A94" s="19" t="str">
        <f t="shared" si="9"/>
        <v>Small Scale Renewable Energy Scheme</v>
      </c>
      <c r="B94" s="17" t="s">
        <v>43</v>
      </c>
      <c r="C94" s="17" t="s">
        <v>17</v>
      </c>
      <c r="D94" s="107">
        <f ca="1">IF(LEFT($A$84,5)="blank",0,D17/'Input Global'!D$18)</f>
        <v>0</v>
      </c>
      <c r="E94" s="107">
        <f ca="1">IF(LEFT($A$84,5)="blank",0,E17/'Input Global'!E$18)</f>
        <v>0.62012499999999982</v>
      </c>
      <c r="F94" s="107">
        <f ca="1">IF(LEFT($A$84,5)="blank",0,F17/'Input Global'!F$18)</f>
        <v>0.55042499999999994</v>
      </c>
      <c r="G94" s="107">
        <f ca="1">IF(LEFT($A$84,5)="blank",0,G17/'Input Global'!G$18)</f>
        <v>0.2422560188087774</v>
      </c>
      <c r="H94" s="107">
        <f ca="1">IF(LEFT($A$84,5)="blank",0,H17/'Input Global'!H$18)</f>
        <v>0.21050736677115994</v>
      </c>
    </row>
    <row r="95" spans="1:8" x14ac:dyDescent="0.3">
      <c r="A95" s="19" t="str">
        <f t="shared" si="9"/>
        <v>Energy savings</v>
      </c>
      <c r="B95" s="17" t="s">
        <v>43</v>
      </c>
      <c r="C95" s="17" t="s">
        <v>17</v>
      </c>
      <c r="D95" s="107">
        <f ca="1">IF(LEFT($A$84,5)="blank",0,D18/'Input Global'!D$18)</f>
        <v>7.1999999999999995E-2</v>
      </c>
      <c r="E95" s="107">
        <f ca="1">IF(LEFT($A$84,5)="blank",0,E18/'Input Global'!E$18)</f>
        <v>0.111725</v>
      </c>
      <c r="F95" s="107">
        <f ca="1">IF(LEFT($A$84,5)="blank",0,F18/'Input Global'!F$18)</f>
        <v>0.155</v>
      </c>
      <c r="G95" s="107">
        <f ca="1">IF(LEFT($A$84,5)="blank",0,G18/'Input Global'!G$18)</f>
        <v>0</v>
      </c>
      <c r="H95" s="107">
        <f ca="1">IF(LEFT($A$84,5)="blank",0,H18/'Input Global'!H$18)</f>
        <v>0</v>
      </c>
    </row>
    <row r="96" spans="1:8" x14ac:dyDescent="0.3">
      <c r="A96" s="19" t="str">
        <f t="shared" si="9"/>
        <v>Blank</v>
      </c>
      <c r="B96" s="17" t="s">
        <v>43</v>
      </c>
      <c r="C96" s="17" t="s">
        <v>17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20" t="s">
        <v>61</v>
      </c>
      <c r="B97" s="20" t="s">
        <v>43</v>
      </c>
      <c r="C97" s="20" t="s">
        <v>17</v>
      </c>
      <c r="D97" s="107">
        <f ca="1">SUM(D85:D96)</f>
        <v>21.217205324016419</v>
      </c>
      <c r="E97" s="107">
        <f t="shared" ref="E97:H97" ca="1" si="10">SUM(E85:E96)</f>
        <v>24.287543294925278</v>
      </c>
      <c r="F97" s="107">
        <f t="shared" ca="1" si="10"/>
        <v>29.537044745509387</v>
      </c>
      <c r="G97" s="107">
        <f t="shared" ca="1" si="10"/>
        <v>29.28926549358096</v>
      </c>
      <c r="H97" s="107">
        <f t="shared" ca="1" si="10"/>
        <v>30.256801412482329</v>
      </c>
    </row>
    <row r="98" spans="1:8" x14ac:dyDescent="0.3">
      <c r="A98" s="133"/>
      <c r="B98" s="133"/>
      <c r="C98" s="133"/>
      <c r="D98" s="134"/>
      <c r="E98" s="134"/>
      <c r="F98" s="134"/>
      <c r="G98" s="134"/>
      <c r="H98" s="134"/>
    </row>
    <row r="99" spans="1:8" x14ac:dyDescent="0.3">
      <c r="A99" s="18" t="str">
        <f>Dist2</f>
        <v>Essential</v>
      </c>
    </row>
    <row r="100" spans="1:8" x14ac:dyDescent="0.3">
      <c r="A100" s="17" t="str">
        <f>A85</f>
        <v>Wholesale</v>
      </c>
      <c r="B100" s="17" t="s">
        <v>43</v>
      </c>
      <c r="C100" s="17" t="s">
        <v>17</v>
      </c>
      <c r="D100" s="107">
        <f ca="1">IF(LEFT($A$99,5)="blank",0,D23/'Input Global'!D$19)</f>
        <v>7.2590000000000003</v>
      </c>
      <c r="E100" s="107">
        <f ca="1">IF(LEFT($A$99,5)="blank",0,E23/'Input Global'!E$19)</f>
        <v>7.1310000000000002</v>
      </c>
      <c r="F100" s="107">
        <f ca="1">IF(LEFT($A$99,5)="blank",0,F23/'Input Global'!F$19)</f>
        <v>7.4586236500000007</v>
      </c>
      <c r="G100" s="107">
        <f ca="1">IF(LEFT($A$99,5)="blank",0,G23/'Input Global'!G$19)</f>
        <v>6.6335144346993271</v>
      </c>
      <c r="H100" s="107">
        <f ca="1">IF(LEFT($A$99,5)="blank",0,H23/'Input Global'!H$19)</f>
        <v>6.7548081848323287</v>
      </c>
    </row>
    <row r="101" spans="1:8" x14ac:dyDescent="0.3">
      <c r="A101" s="17" t="str">
        <f t="shared" ref="A101:A111" si="11">A86</f>
        <v>Transmission</v>
      </c>
      <c r="B101" s="17" t="s">
        <v>43</v>
      </c>
      <c r="C101" s="17" t="s">
        <v>17</v>
      </c>
      <c r="D101" s="107">
        <f>IF(LEFT($A$99,5)="blank",0,D24/'Input Global'!D$19)</f>
        <v>2.1191030893293696</v>
      </c>
      <c r="E101" s="107">
        <f>IF(LEFT($A$99,5)="blank",0,E24/'Input Global'!E$19)</f>
        <v>2.5446</v>
      </c>
      <c r="F101" s="107">
        <f>IF(LEFT($A$99,5)="blank",0,F24/'Input Global'!F$19)</f>
        <v>2.7676417132395836</v>
      </c>
      <c r="G101" s="107">
        <f>IF(LEFT($A$99,5)="blank",0,G24/'Input Global'!G$19)</f>
        <v>2.9604536301246367</v>
      </c>
      <c r="H101" s="107">
        <f>IF(LEFT($A$99,5)="blank",0,H24/'Input Global'!H$19)</f>
        <v>3.1666980787984134</v>
      </c>
    </row>
    <row r="102" spans="1:8" x14ac:dyDescent="0.3">
      <c r="A102" s="17" t="str">
        <f t="shared" si="11"/>
        <v>Distribution</v>
      </c>
      <c r="B102" s="17" t="s">
        <v>43</v>
      </c>
      <c r="C102" s="17" t="s">
        <v>17</v>
      </c>
      <c r="D102" s="107">
        <f>IF(LEFT($A$99,5)="blank",0,D25/'Input Global'!D$19)</f>
        <v>12.817635714285757</v>
      </c>
      <c r="E102" s="107">
        <f>IF(LEFT($A$99,5)="blank",0,E25/'Input Global'!E$19)</f>
        <v>15.660097142857142</v>
      </c>
      <c r="F102" s="107">
        <f>IF(LEFT($A$99,5)="blank",0,F25/'Input Global'!F$19)</f>
        <v>18.760154107428573</v>
      </c>
      <c r="G102" s="107">
        <f>IF(LEFT($A$99,5)="blank",0,G25/'Input Global'!G$19)</f>
        <v>18.381439508665245</v>
      </c>
      <c r="H102" s="107">
        <f>IF(LEFT($A$99,5)="blank",0,H25/'Input Global'!H$19)</f>
        <v>18.850897529191698</v>
      </c>
    </row>
    <row r="103" spans="1:8" x14ac:dyDescent="0.3">
      <c r="A103" s="17" t="str">
        <f t="shared" si="11"/>
        <v>Retail</v>
      </c>
      <c r="B103" s="17" t="s">
        <v>43</v>
      </c>
      <c r="C103" s="17" t="s">
        <v>17</v>
      </c>
      <c r="D103" s="107">
        <f>IF(LEFT($A$99,5)="blank",0,D26/'Input Global'!D$19)</f>
        <v>1.32</v>
      </c>
      <c r="E103" s="107">
        <f>IF(LEFT($A$99,5)="blank",0,E26/'Input Global'!E$19)</f>
        <v>1.43</v>
      </c>
      <c r="F103" s="107">
        <f>IF(LEFT($A$99,5)="blank",0,F26/'Input Global'!F$19)</f>
        <v>1.4964999999999997</v>
      </c>
      <c r="G103" s="107">
        <f>IF(LEFT($A$99,5)="blank",0,G26/'Input Global'!G$19)</f>
        <v>1.5339124999999998</v>
      </c>
      <c r="H103" s="107">
        <f>IF(LEFT($A$99,5)="blank",0,H26/'Input Global'!H$19)</f>
        <v>1.5722603124999996</v>
      </c>
    </row>
    <row r="104" spans="1:8" x14ac:dyDescent="0.3">
      <c r="A104" s="17" t="str">
        <f t="shared" si="11"/>
        <v>Retail and Residual</v>
      </c>
      <c r="B104" s="17" t="s">
        <v>43</v>
      </c>
      <c r="C104" s="17" t="s">
        <v>17</v>
      </c>
      <c r="D104" s="107">
        <f ca="1">IF(LEFT($A$99,5)="blank",0,D27/'Input Global'!D$19)</f>
        <v>1.2927419127727335</v>
      </c>
      <c r="E104" s="107">
        <f ca="1">IF(LEFT($A$99,5)="blank",0,E27/'Input Global'!E$19)</f>
        <v>1.5097763957142858</v>
      </c>
      <c r="F104" s="107">
        <f ca="1">IF(LEFT($A$99,5)="blank",0,F27/'Input Global'!F$19)</f>
        <v>1.8372386012453259</v>
      </c>
      <c r="G104" s="107">
        <f ca="1">IF(LEFT($A$99,5)="blank",0,G27/'Input Global'!G$19)</f>
        <v>1.7701908299734079</v>
      </c>
      <c r="H104" s="107">
        <f ca="1">IF(LEFT($A$99,5)="blank",0,H27/'Input Global'!H$19)</f>
        <v>1.8271199231337547</v>
      </c>
    </row>
    <row r="105" spans="1:8" x14ac:dyDescent="0.3">
      <c r="A105" s="17" t="str">
        <f t="shared" si="11"/>
        <v>Green Schemes</v>
      </c>
      <c r="C105" s="17" t="s">
        <v>17</v>
      </c>
      <c r="D105" s="103"/>
      <c r="E105" s="103"/>
      <c r="F105" s="103"/>
      <c r="G105" s="103"/>
      <c r="H105" s="103"/>
    </row>
    <row r="106" spans="1:8" x14ac:dyDescent="0.3">
      <c r="A106" s="19" t="str">
        <f t="shared" si="11"/>
        <v>Feed-in Tariffs</v>
      </c>
      <c r="B106" s="17" t="s">
        <v>43</v>
      </c>
      <c r="C106" s="17" t="s">
        <v>17</v>
      </c>
      <c r="D106" s="107">
        <f>IF(LEFT($A$99,5)="blank",0,D29/'Input Global'!D$19)</f>
        <v>0.16792624773178752</v>
      </c>
      <c r="E106" s="107">
        <f>IF(LEFT($A$99,5)="blank",0,E29/'Input Global'!E$19)</f>
        <v>0.1794</v>
      </c>
      <c r="F106" s="107">
        <f>IF(LEFT($A$99,5)="blank",0,F29/'Input Global'!F$19)</f>
        <v>0.32151758943047254</v>
      </c>
      <c r="G106" s="107">
        <f>IF(LEFT($A$99,5)="blank",0,G29/'Input Global'!G$19)</f>
        <v>0.39688131239297536</v>
      </c>
      <c r="H106" s="107">
        <f>IF(LEFT($A$99,5)="blank",0,H29/'Input Global'!H$19)</f>
        <v>0.39688131239297536</v>
      </c>
    </row>
    <row r="107" spans="1:8" x14ac:dyDescent="0.3">
      <c r="A107" s="19" t="str">
        <f t="shared" si="11"/>
        <v>Carbon costs</v>
      </c>
      <c r="B107" s="17" t="s">
        <v>43</v>
      </c>
      <c r="C107" s="17" t="s">
        <v>17</v>
      </c>
      <c r="D107" s="107">
        <f ca="1">IF(LEFT($A$99,5)="blank",0,D30/'Input Global'!D$19)</f>
        <v>0</v>
      </c>
      <c r="E107" s="107">
        <f ca="1">IF(LEFT($A$99,5)="blank",0,E30/'Input Global'!E$19)</f>
        <v>0</v>
      </c>
      <c r="F107" s="107">
        <f ca="1">IF(LEFT($A$99,5)="blank",0,F30/'Input Global'!F$19)</f>
        <v>2.0335999999999999</v>
      </c>
      <c r="G107" s="107">
        <f ca="1">IF(LEFT($A$99,5)="blank",0,G30/'Input Global'!G$19)</f>
        <v>2.134361795877902</v>
      </c>
      <c r="H107" s="107">
        <f ca="1">IF(LEFT($A$99,5)="blank",0,H30/'Input Global'!H$19)</f>
        <v>2.3576767413870154</v>
      </c>
    </row>
    <row r="108" spans="1:8" x14ac:dyDescent="0.3">
      <c r="A108" s="19" t="str">
        <f t="shared" si="11"/>
        <v>Large Scale Renewable Energy Target</v>
      </c>
      <c r="B108" s="17" t="s">
        <v>43</v>
      </c>
      <c r="C108" s="17" t="s">
        <v>17</v>
      </c>
      <c r="D108" s="107">
        <f ca="1">IF(LEFT($A$99,5)="blank",0,D31/'Input Global'!D$19)</f>
        <v>0.184</v>
      </c>
      <c r="E108" s="107">
        <f ca="1">IF(LEFT($A$99,5)="blank",0,E31/'Input Global'!E$19)</f>
        <v>0.27162499999999995</v>
      </c>
      <c r="F108" s="107">
        <f ca="1">IF(LEFT($A$99,5)="blank",0,F31/'Input Global'!F$19)</f>
        <v>0.45509999999999995</v>
      </c>
      <c r="G108" s="107">
        <f ca="1">IF(LEFT($A$99,5)="blank",0,G31/'Input Global'!G$19)</f>
        <v>0.4876653809658546</v>
      </c>
      <c r="H108" s="107">
        <f ca="1">IF(LEFT($A$99,5)="blank",0,H31/'Input Global'!H$19)</f>
        <v>0.51641645576275408</v>
      </c>
    </row>
    <row r="109" spans="1:8" x14ac:dyDescent="0.3">
      <c r="A109" s="19" t="str">
        <f t="shared" si="11"/>
        <v>Small Scale Renewable Energy Scheme</v>
      </c>
      <c r="B109" s="17" t="s">
        <v>43</v>
      </c>
      <c r="C109" s="17" t="s">
        <v>17</v>
      </c>
      <c r="D109" s="107">
        <f ca="1">IF(LEFT($A$99,5)="blank",0,D32/'Input Global'!D$19)</f>
        <v>0</v>
      </c>
      <c r="E109" s="107">
        <f ca="1">IF(LEFT($A$99,5)="blank",0,E32/'Input Global'!E$19)</f>
        <v>0.63037500000000002</v>
      </c>
      <c r="F109" s="107">
        <f ca="1">IF(LEFT($A$99,5)="blank",0,F32/'Input Global'!F$19)</f>
        <v>0.57502500000000001</v>
      </c>
      <c r="G109" s="107">
        <f ca="1">IF(LEFT($A$99,5)="blank",0,G32/'Input Global'!G$19)</f>
        <v>0.25308310344827584</v>
      </c>
      <c r="H109" s="107">
        <f ca="1">IF(LEFT($A$99,5)="blank",0,H32/'Input Global'!H$19)</f>
        <v>0.21991551724137939</v>
      </c>
    </row>
    <row r="110" spans="1:8" x14ac:dyDescent="0.3">
      <c r="A110" s="19" t="str">
        <f t="shared" si="11"/>
        <v>Energy savings</v>
      </c>
      <c r="B110" s="17" t="s">
        <v>43</v>
      </c>
      <c r="C110" s="17" t="s">
        <v>17</v>
      </c>
      <c r="D110" s="107">
        <f ca="1">IF(LEFT($A$99,5)="blank",0,D33/'Input Global'!D$19)</f>
        <v>7.1999999999999995E-2</v>
      </c>
      <c r="E110" s="107">
        <f ca="1">IF(LEFT($A$99,5)="blank",0,E33/'Input Global'!E$19)</f>
        <v>0.111725</v>
      </c>
      <c r="F110" s="107">
        <f ca="1">IF(LEFT($A$99,5)="blank",0,F33/'Input Global'!F$19)</f>
        <v>0.154775</v>
      </c>
      <c r="G110" s="107">
        <f ca="1">IF(LEFT($A$99,5)="blank",0,G33/'Input Global'!G$19)</f>
        <v>0</v>
      </c>
      <c r="H110" s="107">
        <f ca="1">IF(LEFT($A$99,5)="blank",0,H33/'Input Global'!H$19)</f>
        <v>0</v>
      </c>
    </row>
    <row r="111" spans="1:8" x14ac:dyDescent="0.3">
      <c r="A111" s="19" t="str">
        <f t="shared" si="11"/>
        <v>Blank</v>
      </c>
      <c r="B111" s="17" t="s">
        <v>43</v>
      </c>
      <c r="C111" s="17" t="s">
        <v>17</v>
      </c>
      <c r="D111" s="107">
        <f ca="1">IF(LEFT($A$99,5)="blank",0,D34/'Input Global'!D$19)</f>
        <v>0</v>
      </c>
      <c r="E111" s="107">
        <f ca="1">IF(LEFT($A$99,5)="blank",0,E34/'Input Global'!E$19)</f>
        <v>0</v>
      </c>
      <c r="F111" s="107">
        <f ca="1">IF(LEFT($A$99,5)="blank",0,F34/'Input Global'!F$19)</f>
        <v>0</v>
      </c>
      <c r="G111" s="107">
        <f ca="1">IF(LEFT($A$99,5)="blank",0,G34/'Input Global'!G$19)</f>
        <v>0</v>
      </c>
      <c r="H111" s="107">
        <f ca="1">IF(LEFT($A$99,5)="blank",0,H34/'Input Global'!H$19)</f>
        <v>0</v>
      </c>
    </row>
    <row r="112" spans="1:8" x14ac:dyDescent="0.3">
      <c r="A112" s="20" t="s">
        <v>61</v>
      </c>
      <c r="B112" s="20" t="s">
        <v>43</v>
      </c>
      <c r="C112" s="20" t="s">
        <v>17</v>
      </c>
      <c r="D112" s="107">
        <f ca="1">SUM(D100:D111)</f>
        <v>25.232406964119651</v>
      </c>
      <c r="E112" s="107">
        <f t="shared" ref="E112:H112" ca="1" si="12">SUM(E100:E111)</f>
        <v>29.468598538571431</v>
      </c>
      <c r="F112" s="107">
        <f t="shared" ca="1" si="12"/>
        <v>35.860175661343952</v>
      </c>
      <c r="G112" s="107">
        <f t="shared" ca="1" si="12"/>
        <v>34.551502496147627</v>
      </c>
      <c r="H112" s="107">
        <f t="shared" ca="1" si="12"/>
        <v>35.662674055240323</v>
      </c>
    </row>
    <row r="113" spans="1:8" x14ac:dyDescent="0.3">
      <c r="A113" s="133"/>
      <c r="B113" s="133"/>
      <c r="C113" s="133"/>
      <c r="D113" s="134"/>
      <c r="E113" s="134"/>
      <c r="F113" s="134"/>
      <c r="G113" s="134"/>
      <c r="H113" s="134"/>
    </row>
    <row r="114" spans="1:8" x14ac:dyDescent="0.3">
      <c r="A114" s="18" t="str">
        <f>Dist3</f>
        <v>Endeavour</v>
      </c>
    </row>
    <row r="115" spans="1:8" x14ac:dyDescent="0.3">
      <c r="A115" s="17" t="str">
        <f>A100</f>
        <v>Wholesale</v>
      </c>
      <c r="B115" s="17" t="s">
        <v>43</v>
      </c>
      <c r="C115" s="17" t="s">
        <v>17</v>
      </c>
      <c r="D115" s="107">
        <f ca="1">IF(LEFT($A$114,5)="blank",0,D38/'Input Global'!D$20)</f>
        <v>7.7910000000000004</v>
      </c>
      <c r="E115" s="107">
        <f ca="1">IF(LEFT($A$114,5)="blank",0,E38/'Input Global'!E$20)</f>
        <v>7.8330000000000002</v>
      </c>
      <c r="F115" s="107">
        <f ca="1">IF(LEFT($A$114,5)="blank",0,F38/'Input Global'!F$20)</f>
        <v>7.9835999999999991</v>
      </c>
      <c r="G115" s="107">
        <f ca="1">IF(LEFT($A$114,5)="blank",0,G38/'Input Global'!G$20)</f>
        <v>7.3844164224436932</v>
      </c>
      <c r="H115" s="107">
        <f ca="1">IF(LEFT($A$114,5)="blank",0,H38/'Input Global'!H$20)</f>
        <v>7.5201748697774233</v>
      </c>
    </row>
    <row r="116" spans="1:8" x14ac:dyDescent="0.3">
      <c r="A116" s="17" t="str">
        <f t="shared" ref="A116:A126" si="13">A101</f>
        <v>Transmission</v>
      </c>
      <c r="B116" s="17" t="s">
        <v>43</v>
      </c>
      <c r="C116" s="17" t="s">
        <v>17</v>
      </c>
      <c r="D116" s="107">
        <f>IF(LEFT($A$114,5)="blank",0,D39/'Input Global'!D$20)</f>
        <v>1.249397574532169</v>
      </c>
      <c r="E116" s="107">
        <f>IF(LEFT($A$114,5)="blank",0,E39/'Input Global'!E$20)</f>
        <v>1.2585029639840879</v>
      </c>
      <c r="F116" s="107">
        <f>IF(LEFT($A$114,5)="blank",0,F39/'Input Global'!F$20)</f>
        <v>1.422070621886677</v>
      </c>
      <c r="G116" s="107">
        <f>IF(LEFT($A$114,5)="blank",0,G39/'Input Global'!G$20)</f>
        <v>1.521141307676761</v>
      </c>
      <c r="H116" s="107">
        <f>IF(LEFT($A$114,5)="blank",0,H39/'Input Global'!H$20)</f>
        <v>1.6271139015942322</v>
      </c>
    </row>
    <row r="117" spans="1:8" x14ac:dyDescent="0.3">
      <c r="A117" s="17" t="str">
        <f t="shared" si="13"/>
        <v>Distribution</v>
      </c>
      <c r="B117" s="17" t="s">
        <v>43</v>
      </c>
      <c r="C117" s="17" t="s">
        <v>17</v>
      </c>
      <c r="D117" s="107">
        <f>IF(LEFT($A$114,5)="blank",0,D40/'Input Global'!D$20)</f>
        <v>9.6471469064325959</v>
      </c>
      <c r="E117" s="107">
        <f>IF(LEFT($A$114,5)="blank",0,E40/'Input Global'!E$20)</f>
        <v>11.275603248719619</v>
      </c>
      <c r="F117" s="107">
        <f>IF(LEFT($A$114,5)="blank",0,F40/'Input Global'!F$20)</f>
        <v>8.1274565157935008</v>
      </c>
      <c r="G117" s="107">
        <f>IF(LEFT($A$114,5)="blank",0,G40/'Input Global'!G$20)</f>
        <v>7.2969442103148969</v>
      </c>
      <c r="H117" s="107">
        <f>IF(LEFT($A$114,5)="blank",0,H40/'Input Global'!H$20)</f>
        <v>7.6004007355727694</v>
      </c>
    </row>
    <row r="118" spans="1:8" x14ac:dyDescent="0.3">
      <c r="A118" s="17" t="str">
        <f t="shared" si="13"/>
        <v>Retail</v>
      </c>
      <c r="B118" s="17" t="s">
        <v>43</v>
      </c>
      <c r="C118" s="17" t="s">
        <v>17</v>
      </c>
      <c r="D118" s="107">
        <f>IF(LEFT($A$114,5)="blank",0,D41/'Input Global'!D$20)</f>
        <v>1.1400000000000001</v>
      </c>
      <c r="E118" s="107">
        <f>IF(LEFT($A$114,5)="blank",0,E41/'Input Global'!E$20)</f>
        <v>1.32</v>
      </c>
      <c r="F118" s="107">
        <f>IF(LEFT($A$114,5)="blank",0,F41/'Input Global'!F$20)</f>
        <v>1.3837499999999998</v>
      </c>
      <c r="G118" s="107">
        <f>IF(LEFT($A$114,5)="blank",0,G41/'Input Global'!G$20)</f>
        <v>1.4183437499999996</v>
      </c>
      <c r="H118" s="107">
        <f>IF(LEFT($A$114,5)="blank",0,H41/'Input Global'!H$20)</f>
        <v>1.4538023437499994</v>
      </c>
    </row>
    <row r="119" spans="1:8" x14ac:dyDescent="0.3">
      <c r="A119" s="17" t="str">
        <f t="shared" si="13"/>
        <v>Retail and Residual</v>
      </c>
      <c r="B119" s="17" t="s">
        <v>43</v>
      </c>
      <c r="C119" s="17" t="s">
        <v>17</v>
      </c>
      <c r="D119" s="107">
        <f ca="1">IF(LEFT($A$114,5)="blank",0,D42/'Input Global'!D$20)</f>
        <v>1.0968126019720974</v>
      </c>
      <c r="E119" s="107">
        <f ca="1">IF(LEFT($A$114,5)="blank",0,E42/'Input Global'!E$20)</f>
        <v>1.2377909192546555</v>
      </c>
      <c r="F119" s="107">
        <f ca="1">IF(LEFT($A$114,5)="blank",0,F42/'Input Global'!F$20)</f>
        <v>1.4056673654347296</v>
      </c>
      <c r="G119" s="107">
        <f ca="1">IF(LEFT($A$114,5)="blank",0,G42/'Input Global'!G$20)</f>
        <v>1.3669823247366255</v>
      </c>
      <c r="H119" s="107">
        <f ca="1">IF(LEFT($A$114,5)="blank",0,H42/'Input Global'!H$20)</f>
        <v>1.4039866669567609</v>
      </c>
    </row>
    <row r="120" spans="1:8" x14ac:dyDescent="0.3">
      <c r="A120" s="17" t="str">
        <f t="shared" si="13"/>
        <v>Green Schemes</v>
      </c>
      <c r="C120" s="17" t="s">
        <v>17</v>
      </c>
      <c r="D120" s="103"/>
      <c r="E120" s="103"/>
      <c r="F120" s="103"/>
      <c r="G120" s="103"/>
      <c r="H120" s="103"/>
    </row>
    <row r="121" spans="1:8" x14ac:dyDescent="0.3">
      <c r="A121" s="19" t="str">
        <f t="shared" si="13"/>
        <v>Feed-in Tariffs</v>
      </c>
      <c r="B121" s="17" t="s">
        <v>43</v>
      </c>
      <c r="C121" s="17" t="s">
        <v>17</v>
      </c>
      <c r="D121" s="107">
        <f>IF(LEFT($A$114,5)="blank",0,D44/'Input Global'!D$20)</f>
        <v>0.22779999999999997</v>
      </c>
      <c r="E121" s="107">
        <f>IF(LEFT($A$114,5)="blank",0,E44/'Input Global'!E$20)</f>
        <v>0.22942284756769224</v>
      </c>
      <c r="F121" s="107">
        <f>IF(LEFT($A$114,5)="blank",0,F44/'Input Global'!F$20)</f>
        <v>3.9219999999999993</v>
      </c>
      <c r="G121" s="107">
        <f>IF(LEFT($A$114,5)="blank",0,G44/'Input Global'!G$20)</f>
        <v>4.8413167999999986</v>
      </c>
      <c r="H121" s="107">
        <f>IF(LEFT($A$114,5)="blank",0,H44/'Input Global'!H$20)</f>
        <v>4.8413167999999986</v>
      </c>
    </row>
    <row r="122" spans="1:8" x14ac:dyDescent="0.3">
      <c r="A122" s="19" t="str">
        <f t="shared" si="13"/>
        <v>Carbon costs</v>
      </c>
      <c r="B122" s="17" t="s">
        <v>43</v>
      </c>
      <c r="C122" s="17" t="s">
        <v>17</v>
      </c>
      <c r="D122" s="107">
        <f ca="1">IF(LEFT($A$114,5)="blank",0,D45/'Input Global'!D$20)</f>
        <v>0</v>
      </c>
      <c r="E122" s="107">
        <f ca="1">IF(LEFT($A$114,5)="blank",0,E45/'Input Global'!E$20)</f>
        <v>0</v>
      </c>
      <c r="F122" s="107">
        <f ca="1">IF(LEFT($A$114,5)="blank",0,F45/'Input Global'!F$20)</f>
        <v>2.0139999999999998</v>
      </c>
      <c r="G122" s="107">
        <f ca="1">IF(LEFT($A$114,5)="blank",0,G45/'Input Global'!G$20)</f>
        <v>2.1135126945102725</v>
      </c>
      <c r="H122" s="107">
        <f ca="1">IF(LEFT($A$114,5)="blank",0,H45/'Input Global'!H$20)</f>
        <v>2.2219080450147288</v>
      </c>
    </row>
    <row r="123" spans="1:8" x14ac:dyDescent="0.3">
      <c r="A123" s="19" t="str">
        <f t="shared" si="13"/>
        <v>Large Scale Renewable Energy Target</v>
      </c>
      <c r="B123" s="17" t="s">
        <v>43</v>
      </c>
      <c r="C123" s="17" t="s">
        <v>17</v>
      </c>
      <c r="D123" s="107">
        <f ca="1">IF(LEFT($A$114,5)="blank",0,D46/'Input Global'!D$20)</f>
        <v>0.184</v>
      </c>
      <c r="E123" s="107">
        <f ca="1">IF(LEFT($A$114,5)="blank",0,E46/'Input Global'!E$20)</f>
        <v>0.27060000000000001</v>
      </c>
      <c r="F123" s="107">
        <f ca="1">IF(LEFT($A$114,5)="blank",0,F46/'Input Global'!F$20)</f>
        <v>0.45700000000000002</v>
      </c>
      <c r="G123" s="107">
        <f ca="1">IF(LEFT($A$114,5)="blank",0,G46/'Input Global'!G$20)</f>
        <v>0.48970133839023428</v>
      </c>
      <c r="H123" s="107">
        <f ca="1">IF(LEFT($A$114,5)="blank",0,H46/'Input Global'!H$20)</f>
        <v>0.51857244623946097</v>
      </c>
    </row>
    <row r="124" spans="1:8" x14ac:dyDescent="0.3">
      <c r="A124" s="19" t="str">
        <f t="shared" si="13"/>
        <v>Small Scale Renewable Energy Scheme</v>
      </c>
      <c r="B124" s="17" t="s">
        <v>43</v>
      </c>
      <c r="C124" s="17" t="s">
        <v>17</v>
      </c>
      <c r="D124" s="107">
        <f ca="1">IF(LEFT($A$114,5)="blank",0,D47/'Input Global'!D$20)</f>
        <v>0</v>
      </c>
      <c r="E124" s="107">
        <f ca="1">IF(LEFT($A$114,5)="blank",0,E47/'Input Global'!E$20)</f>
        <v>0.62319999999999998</v>
      </c>
      <c r="F124" s="107">
        <f ca="1">IF(LEFT($A$114,5)="blank",0,F47/'Input Global'!F$20)</f>
        <v>0.56599999999999995</v>
      </c>
      <c r="G124" s="107">
        <f ca="1">IF(LEFT($A$114,5)="blank",0,G47/'Input Global'!G$20)</f>
        <v>0.24911097178683381</v>
      </c>
      <c r="H124" s="107">
        <f ca="1">IF(LEFT($A$114,5)="blank",0,H47/'Input Global'!H$20)</f>
        <v>0.2164639498432602</v>
      </c>
    </row>
    <row r="125" spans="1:8" x14ac:dyDescent="0.3">
      <c r="A125" s="19" t="str">
        <f t="shared" si="13"/>
        <v>Energy savings</v>
      </c>
      <c r="B125" s="17" t="s">
        <v>43</v>
      </c>
      <c r="C125" s="17" t="s">
        <v>17</v>
      </c>
      <c r="D125" s="107">
        <f ca="1">IF(LEFT($A$114,5)="blank",0,D48/'Input Global'!D$20)</f>
        <v>7.1999999999999995E-2</v>
      </c>
      <c r="E125" s="107">
        <f ca="1">IF(LEFT($A$114,5)="blank",0,E48/'Input Global'!E$20)</f>
        <v>0.111725</v>
      </c>
      <c r="F125" s="107">
        <f ca="1">IF(LEFT($A$114,5)="blank",0,F48/'Input Global'!F$20)</f>
        <v>0.155</v>
      </c>
      <c r="G125" s="107">
        <f ca="1">IF(LEFT($A$114,5)="blank",0,G48/'Input Global'!G$20)</f>
        <v>0</v>
      </c>
      <c r="H125" s="107">
        <f ca="1">IF(LEFT($A$114,5)="blank",0,H48/'Input Global'!H$20)</f>
        <v>0</v>
      </c>
    </row>
    <row r="126" spans="1:8" x14ac:dyDescent="0.3">
      <c r="A126" s="19" t="str">
        <f t="shared" si="13"/>
        <v>Blank</v>
      </c>
      <c r="B126" s="17" t="s">
        <v>43</v>
      </c>
      <c r="C126" s="17" t="s">
        <v>17</v>
      </c>
      <c r="D126" s="107">
        <f ca="1">IF(LEFT($A$114,5)="blank",0,D49/'Input Global'!D$20)</f>
        <v>0</v>
      </c>
      <c r="E126" s="107">
        <f ca="1">IF(LEFT($A$114,5)="blank",0,E49/'Input Global'!E$20)</f>
        <v>0</v>
      </c>
      <c r="F126" s="107">
        <f ca="1">IF(LEFT($A$114,5)="blank",0,F49/'Input Global'!F$20)</f>
        <v>0</v>
      </c>
      <c r="G126" s="107">
        <f ca="1">IF(LEFT($A$114,5)="blank",0,G49/'Input Global'!G$20)</f>
        <v>0</v>
      </c>
      <c r="H126" s="107">
        <f ca="1">IF(LEFT($A$114,5)="blank",0,H49/'Input Global'!H$20)</f>
        <v>0</v>
      </c>
    </row>
    <row r="127" spans="1:8" x14ac:dyDescent="0.3">
      <c r="A127" s="20" t="s">
        <v>61</v>
      </c>
      <c r="B127" s="20" t="s">
        <v>43</v>
      </c>
      <c r="C127" s="20" t="s">
        <v>17</v>
      </c>
      <c r="D127" s="107">
        <f ca="1">SUM(D115:D126)</f>
        <v>21.408157082936864</v>
      </c>
      <c r="E127" s="107">
        <f t="shared" ref="E127:H127" ca="1" si="14">SUM(E115:E126)</f>
        <v>24.15984497952606</v>
      </c>
      <c r="F127" s="107">
        <f t="shared" ca="1" si="14"/>
        <v>27.436544503114906</v>
      </c>
      <c r="G127" s="107">
        <f t="shared" ca="1" si="14"/>
        <v>26.681469819859313</v>
      </c>
      <c r="H127" s="107">
        <f t="shared" ca="1" si="14"/>
        <v>27.403739758748632</v>
      </c>
    </row>
    <row r="128" spans="1:8" hidden="1" x14ac:dyDescent="0.3">
      <c r="A128" s="133"/>
      <c r="B128" s="133"/>
      <c r="C128" s="133"/>
      <c r="D128" s="134"/>
      <c r="E128" s="134"/>
      <c r="F128" s="134"/>
      <c r="G128" s="134"/>
      <c r="H128" s="134"/>
    </row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B130" s="17" t="s">
        <v>43</v>
      </c>
      <c r="C130" s="17" t="s">
        <v>17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B131" s="17" t="s">
        <v>43</v>
      </c>
      <c r="C131" s="17" t="s">
        <v>17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B132" s="17" t="s">
        <v>43</v>
      </c>
      <c r="C132" s="17" t="s">
        <v>17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B133" s="17" t="s">
        <v>43</v>
      </c>
      <c r="C133" s="17" t="s">
        <v>17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B134" s="17" t="s">
        <v>43</v>
      </c>
      <c r="C134" s="17" t="s">
        <v>17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17</v>
      </c>
      <c r="D135" s="103"/>
      <c r="E135" s="103"/>
      <c r="F135" s="103"/>
      <c r="G135" s="103"/>
      <c r="H135" s="103"/>
    </row>
    <row r="136" spans="1:8" hidden="1" x14ac:dyDescent="0.3">
      <c r="A136" s="19" t="str">
        <f t="shared" si="15"/>
        <v>Feed-in Tariffs</v>
      </c>
      <c r="B136" s="17" t="s">
        <v>43</v>
      </c>
      <c r="C136" s="17" t="s">
        <v>17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B137" s="17" t="s">
        <v>43</v>
      </c>
      <c r="C137" s="17" t="s">
        <v>17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B138" s="17" t="s">
        <v>43</v>
      </c>
      <c r="C138" s="17" t="s">
        <v>17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B139" s="17" t="s">
        <v>43</v>
      </c>
      <c r="C139" s="17" t="s">
        <v>17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9" t="str">
        <f t="shared" si="15"/>
        <v>Energy savings</v>
      </c>
      <c r="B140" s="17" t="s">
        <v>43</v>
      </c>
      <c r="C140" s="17" t="s">
        <v>17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B141" s="17" t="s">
        <v>43</v>
      </c>
      <c r="C141" s="17" t="s">
        <v>17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20" t="s">
        <v>61</v>
      </c>
      <c r="B142" s="20" t="s">
        <v>43</v>
      </c>
      <c r="C142" s="20" t="s">
        <v>17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B145" s="17" t="s">
        <v>43</v>
      </c>
      <c r="C145" s="17" t="s">
        <v>17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B146" s="17" t="s">
        <v>43</v>
      </c>
      <c r="C146" s="17" t="s">
        <v>17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B147" s="17" t="s">
        <v>43</v>
      </c>
      <c r="C147" s="17" t="s">
        <v>17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B148" s="17" t="s">
        <v>43</v>
      </c>
      <c r="C148" s="17" t="s">
        <v>17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B149" s="17" t="s">
        <v>43</v>
      </c>
      <c r="C149" s="17" t="s">
        <v>17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17</v>
      </c>
      <c r="D150" s="103"/>
      <c r="E150" s="103"/>
      <c r="F150" s="103"/>
      <c r="G150" s="103"/>
      <c r="H150" s="103"/>
    </row>
    <row r="151" spans="1:8" hidden="1" x14ac:dyDescent="0.3">
      <c r="A151" s="19" t="str">
        <f t="shared" si="17"/>
        <v>Feed-in Tariffs</v>
      </c>
      <c r="B151" s="17" t="s">
        <v>43</v>
      </c>
      <c r="C151" s="17" t="s">
        <v>17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B152" s="17" t="s">
        <v>43</v>
      </c>
      <c r="C152" s="17" t="s">
        <v>17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B153" s="17" t="s">
        <v>43</v>
      </c>
      <c r="C153" s="17" t="s">
        <v>17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B154" s="17" t="s">
        <v>43</v>
      </c>
      <c r="C154" s="17" t="s">
        <v>17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9" t="str">
        <f t="shared" si="17"/>
        <v>Energy savings</v>
      </c>
      <c r="B155" s="17" t="s">
        <v>43</v>
      </c>
      <c r="C155" s="17" t="s">
        <v>17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B156" s="17" t="s">
        <v>43</v>
      </c>
      <c r="C156" s="17" t="s">
        <v>17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20" t="s">
        <v>61</v>
      </c>
      <c r="B157" s="20" t="s">
        <v>43</v>
      </c>
      <c r="C157" s="20" t="s">
        <v>17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6" t="s">
        <v>74</v>
      </c>
    </row>
    <row r="160" spans="1:8" x14ac:dyDescent="0.3">
      <c r="A160" s="17" t="str">
        <f>Dist1</f>
        <v xml:space="preserve">Ausgrid </v>
      </c>
      <c r="B160" s="17" t="s">
        <v>43</v>
      </c>
      <c r="C160" s="17" t="s">
        <v>29</v>
      </c>
      <c r="D160" s="108">
        <f>'Input Global'!D25/'Input Global'!D$30</f>
        <v>0.52009242680069001</v>
      </c>
      <c r="E160" s="108">
        <f>'Input Global'!E25/'Input Global'!E$30</f>
        <v>0.52009242680069001</v>
      </c>
      <c r="F160" s="108">
        <f>'Input Global'!F25/'Input Global'!F$30</f>
        <v>0.52009242680069001</v>
      </c>
      <c r="G160" s="108">
        <f>'Input Global'!G25/'Input Global'!G$30</f>
        <v>0.52009242680069001</v>
      </c>
      <c r="H160" s="108">
        <f>'Input Global'!H25/'Input Global'!H$30</f>
        <v>0.52009242680069001</v>
      </c>
    </row>
    <row r="161" spans="1:8" x14ac:dyDescent="0.3">
      <c r="A161" s="17" t="str">
        <f>Dist2</f>
        <v>Essential</v>
      </c>
      <c r="B161" s="17" t="s">
        <v>43</v>
      </c>
      <c r="C161" s="17" t="s">
        <v>29</v>
      </c>
      <c r="D161" s="108">
        <f>'Input Global'!D26/'Input Global'!D$30</f>
        <v>0.22405504769188242</v>
      </c>
      <c r="E161" s="108">
        <f>'Input Global'!E26/'Input Global'!E$30</f>
        <v>0.22405504769188242</v>
      </c>
      <c r="F161" s="108">
        <f>'Input Global'!F26/'Input Global'!F$30</f>
        <v>0.22405504769188242</v>
      </c>
      <c r="G161" s="108">
        <f>'Input Global'!G26/'Input Global'!G$30</f>
        <v>0.22405504769188242</v>
      </c>
      <c r="H161" s="108">
        <f>'Input Global'!H26/'Input Global'!H$30</f>
        <v>0.22405504769188242</v>
      </c>
    </row>
    <row r="162" spans="1:8" x14ac:dyDescent="0.3">
      <c r="A162" s="17" t="str">
        <f>Dist3</f>
        <v>Endeavour</v>
      </c>
      <c r="B162" s="17" t="s">
        <v>43</v>
      </c>
      <c r="C162" s="17" t="s">
        <v>29</v>
      </c>
      <c r="D162" s="108">
        <f>'Input Global'!D27/'Input Global'!D$30</f>
        <v>0.25585252550742754</v>
      </c>
      <c r="E162" s="108">
        <f>'Input Global'!E27/'Input Global'!E$30</f>
        <v>0.25585252550742754</v>
      </c>
      <c r="F162" s="108">
        <f>'Input Global'!F27/'Input Global'!F$30</f>
        <v>0.25585252550742754</v>
      </c>
      <c r="G162" s="108">
        <f>'Input Global'!G27/'Input Global'!G$30</f>
        <v>0.25585252550742754</v>
      </c>
      <c r="H162" s="108">
        <f>'Input Global'!H27/'Input Global'!H$30</f>
        <v>0.25585252550742754</v>
      </c>
    </row>
    <row r="163" spans="1:8" hidden="1" x14ac:dyDescent="0.3">
      <c r="A163" s="17" t="str">
        <f>Dist4</f>
        <v>blank</v>
      </c>
      <c r="B163" s="17" t="s">
        <v>43</v>
      </c>
      <c r="C163" s="17" t="s">
        <v>29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43</v>
      </c>
      <c r="C164" s="17" t="s">
        <v>29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165"/>
  <sheetViews>
    <sheetView zoomScaleNormal="100" workbookViewId="0">
      <pane xSplit="3" ySplit="4" topLeftCell="D158" activePane="bottomRight" state="frozenSplit"/>
      <selection activeCell="I168" sqref="I168"/>
      <selection pane="topRight" activeCell="I168" sqref="I168"/>
      <selection pane="bottomLeft" activeCell="I168" sqref="I168"/>
      <selection pane="bottomRight" activeCell="I168" sqref="I168"/>
    </sheetView>
  </sheetViews>
  <sheetFormatPr defaultColWidth="9.140625" defaultRowHeight="16.5" x14ac:dyDescent="0.3"/>
  <cols>
    <col min="1" max="1" width="25.85546875" style="17" customWidth="1"/>
    <col min="2" max="2" width="14.140625" style="17" customWidth="1"/>
    <col min="3" max="3" width="9.140625" style="17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" style="17" bestFit="1" customWidth="1"/>
    <col min="10" max="14" width="9.140625" style="17"/>
    <col min="15" max="15" width="10.5703125" style="17" bestFit="1" customWidth="1"/>
    <col min="16" max="16384" width="9.140625" style="17"/>
  </cols>
  <sheetData>
    <row r="1" spans="1:16" s="22" customFormat="1" ht="23.25" x14ac:dyDescent="0.35">
      <c r="A1" s="22" t="s">
        <v>7</v>
      </c>
      <c r="B1" s="23" t="str">
        <f ca="1">'Input Global'!B1</f>
        <v>2012 Pricing Trends - model - NSW</v>
      </c>
      <c r="C1" s="24"/>
      <c r="D1" s="99"/>
      <c r="E1" s="99"/>
      <c r="F1" s="99"/>
      <c r="G1" s="98"/>
      <c r="H1" s="98"/>
      <c r="I1" s="79" t="s">
        <v>37</v>
      </c>
    </row>
    <row r="2" spans="1:16" s="22" customFormat="1" ht="19.5" thickBot="1" x14ac:dyDescent="0.35">
      <c r="B2" s="25" t="str">
        <f ca="1">RIGHT(CELL("filename",B2),LEN(CELL("filename",B2))-SEARCH("]",CELL("filename",B2)))</f>
        <v>Calc (LRMC Planning case)</v>
      </c>
      <c r="C2" s="26"/>
      <c r="D2" s="100"/>
      <c r="E2" s="100"/>
      <c r="F2" s="100"/>
      <c r="G2" s="98"/>
      <c r="H2" s="98"/>
      <c r="I2" s="85" t="s">
        <v>31</v>
      </c>
    </row>
    <row r="3" spans="1:16" s="2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2" customFormat="1" ht="15.75" x14ac:dyDescent="0.3">
      <c r="B4" s="27"/>
      <c r="C4" s="28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6" t="s">
        <v>44</v>
      </c>
      <c r="B6" s="21" t="s">
        <v>48</v>
      </c>
    </row>
    <row r="7" spans="1:16" x14ac:dyDescent="0.3">
      <c r="A7" s="18" t="str">
        <f>Dist1</f>
        <v xml:space="preserve">Ausgrid </v>
      </c>
    </row>
    <row r="8" spans="1:16" x14ac:dyDescent="0.3">
      <c r="A8" s="97" t="str">
        <f>'Calc (Jurisdiction)'!A8</f>
        <v>Wholesale</v>
      </c>
      <c r="C8" s="17" t="s">
        <v>63</v>
      </c>
      <c r="D8" s="107">
        <f ca="1">VLOOKUP($B$2,dist1wholesale,COLUMN('Calc (Jurisdiction)'!D8),FALSE)*'Input Global'!D18</f>
        <v>52080</v>
      </c>
      <c r="E8" s="107">
        <f ca="1">VLOOKUP($B$2,dist1wholesale,COLUMN('Calc (Jurisdiction)'!E8),FALSE)*'Input Global'!E18</f>
        <v>51548</v>
      </c>
      <c r="F8" s="107">
        <f ca="1">VLOOKUP($B$2,dist1wholesale,COLUMN('Calc (Jurisdiction)'!F8),FALSE)*'Input Global'!F18</f>
        <v>52102.740550000002</v>
      </c>
      <c r="G8" s="107">
        <f ca="1">VLOOKUP($B$2,dist1wholesale,COLUMN('Calc (Jurisdiction)'!G8),FALSE)*'Input Global'!G18</f>
        <v>48789.418763349626</v>
      </c>
      <c r="H8" s="107">
        <f ca="1">VLOOKUP($B$2,dist1wholesale,COLUMN('Calc (Jurisdiction)'!H8),FALSE)*'Input Global'!H18</f>
        <v>49677.93842360111</v>
      </c>
    </row>
    <row r="9" spans="1:16" x14ac:dyDescent="0.3">
      <c r="A9" s="97" t="str">
        <f>'Calc (Jurisdiction)'!A9</f>
        <v>Transmission</v>
      </c>
      <c r="C9" s="17" t="s">
        <v>63</v>
      </c>
      <c r="D9" s="107">
        <f>'Input General'!D8+(SUMPRODUCT('Input General'!D9:D12,'Input General'!D73:D76)*'Input Global'!D18)</f>
        <v>13643.396656357232</v>
      </c>
      <c r="E9" s="107">
        <f>'Input General'!E8+(SUMPRODUCT('Input General'!E9:E12,'Input General'!E73:E76)*'Input Global'!E18)</f>
        <v>17085.511121963093</v>
      </c>
      <c r="F9" s="107">
        <f>'Input General'!F8+(SUMPRODUCT('Input General'!F9:F12,'Input General'!F73:F76)*'Input Global'!F18)</f>
        <v>34551.444272383662</v>
      </c>
      <c r="G9" s="107">
        <f>'Input General'!G8+(SUMPRODUCT('Input General'!G9:G12,'Input General'!G73:G76)*'Input Global'!G18)</f>
        <v>36958.522533069154</v>
      </c>
      <c r="H9" s="107">
        <f>'Input General'!H8+(SUMPRODUCT('Input General'!H9:H12,'Input General'!H73:H76)*'Input Global'!H18)</f>
        <v>39533.293516159778</v>
      </c>
    </row>
    <row r="10" spans="1:16" x14ac:dyDescent="0.3">
      <c r="A10" s="97" t="str">
        <f>'Calc (Jurisdiction)'!A10</f>
        <v>Distribution</v>
      </c>
      <c r="C10" s="17" t="s">
        <v>63</v>
      </c>
      <c r="D10" s="107">
        <f>'Input General'!D28+SUMPRODUCT('Input General'!D29:D32,'Input General'!D73:D76)*'Input Global'!D18+'Input General'!D47</f>
        <v>62286.834148305898</v>
      </c>
      <c r="E10" s="107">
        <f>'Input General'!E28+SUMPRODUCT('Input General'!E29:E32,'Input General'!E73:E76)*'Input Global'!E18+'Input General'!E47</f>
        <v>74373.050202635233</v>
      </c>
      <c r="F10" s="107">
        <f>'Input General'!F28+SUMPRODUCT('Input General'!F29:F32,'Input General'!F73:F76)*'Input Global'!F18+'Input General'!F47</f>
        <v>74017.827471978759</v>
      </c>
      <c r="G10" s="107">
        <f>'Input General'!G28+SUMPRODUCT('Input General'!G29:G32,'Input General'!G73:G76)*'Input Global'!G18+'Input General'!G47</f>
        <v>74687.392682512756</v>
      </c>
      <c r="H10" s="107">
        <f>'Input General'!H28+SUMPRODUCT('Input General'!H29:H32,'Input General'!H73:H76)*'Input Global'!H18+'Input General'!H47</f>
        <v>76639.320418420059</v>
      </c>
      <c r="P10" s="29"/>
    </row>
    <row r="11" spans="1:16" x14ac:dyDescent="0.3">
      <c r="A11" s="97" t="str">
        <f>'Calc (Jurisdiction)'!A11</f>
        <v>Retail</v>
      </c>
      <c r="C11" s="17" t="s">
        <v>63</v>
      </c>
      <c r="D11" s="107">
        <f>'Input General'!D90*'Input Global'!D18</f>
        <v>9870</v>
      </c>
      <c r="E11" s="107">
        <f>'Input General'!E90*'Input Global'!E18</f>
        <v>9870</v>
      </c>
      <c r="F11" s="107">
        <f>'Input General'!F90*'Input Global'!F18</f>
        <v>10332</v>
      </c>
      <c r="G11" s="107">
        <f>'Input General'!G90*'Input Global'!G18</f>
        <v>10590.3</v>
      </c>
      <c r="H11" s="107">
        <f>'Input General'!H90*'Input Global'!H18</f>
        <v>10855.057499999997</v>
      </c>
      <c r="K11" s="30"/>
      <c r="M11" s="31"/>
      <c r="O11" s="29"/>
      <c r="P11" s="29"/>
    </row>
    <row r="12" spans="1:16" x14ac:dyDescent="0.3">
      <c r="A12" s="97" t="str">
        <f>'Calc (Jurisdiction)'!A12</f>
        <v>Retail and Residual</v>
      </c>
      <c r="C12" s="17" t="s">
        <v>63</v>
      </c>
      <c r="D12" s="107">
        <f ca="1">VLOOKUP($B$2,'Input General'!$A$143:$H$147,COLUMN(D12),FALSE)*'Input Global'!D33</f>
        <v>7609.2064634518083</v>
      </c>
      <c r="E12" s="107">
        <f ca="1">VLOOKUP($B$2,'Input General'!$A$143:$H$147,COLUMN(E12),FALSE)*'Input Global'!E33</f>
        <v>8710.333363834683</v>
      </c>
      <c r="F12" s="107">
        <f ca="1">VLOOKUP($B$2,'Input General'!$A$143:$H$147,COLUMN(F12),FALSE)*'Input Global'!F33</f>
        <v>10592.981891653271</v>
      </c>
      <c r="G12" s="107">
        <f ca="1">VLOOKUP($B$2,'Input General'!$A$143:$H$147,COLUMN(G12),FALSE)*'Input Global'!G33</f>
        <v>10504.119882897154</v>
      </c>
      <c r="H12" s="107">
        <f ca="1">VLOOKUP($B$2,'Input General'!$A$143:$H$147,COLUMN(H12),FALSE)*'Input Global'!H33</f>
        <v>10851.110942996507</v>
      </c>
      <c r="K12" s="30"/>
      <c r="M12" s="31"/>
      <c r="O12" s="29"/>
      <c r="P12" s="29"/>
    </row>
    <row r="13" spans="1:16" x14ac:dyDescent="0.3">
      <c r="A13" s="97" t="str">
        <f>'Calc (Jurisdiction)'!A13</f>
        <v>Green Schemes</v>
      </c>
      <c r="D13" s="103"/>
      <c r="E13" s="103"/>
      <c r="F13" s="103"/>
      <c r="G13" s="103"/>
      <c r="H13" s="103"/>
      <c r="K13" s="30"/>
      <c r="M13" s="31"/>
      <c r="O13" s="29"/>
      <c r="P13" s="29"/>
    </row>
    <row r="14" spans="1:16" x14ac:dyDescent="0.3">
      <c r="A14" s="19" t="str">
        <f>'Calc (Jurisdiction)'!A14</f>
        <v>Feed-in Tariffs</v>
      </c>
      <c r="C14" s="17" t="s">
        <v>63</v>
      </c>
      <c r="D14" s="107">
        <f>'Input General'!D53+SUMPRODUCT('Input General'!D54:D57,'Input General'!D73:D76)*'Input Global'!D18</f>
        <v>1239</v>
      </c>
      <c r="E14" s="107">
        <f>'Input General'!E53+SUMPRODUCT('Input General'!E54:E57,'Input General'!E73:E76)*'Input Global'!E18</f>
        <v>1387.2333760439487</v>
      </c>
      <c r="F14" s="107">
        <f>'Input General'!F53+SUMPRODUCT('Input General'!F54:F57,'Input General'!F73:F76)*'Input Global'!F18</f>
        <v>2746.0440325500003</v>
      </c>
      <c r="G14" s="107">
        <f>'Input General'!G53+SUMPRODUCT('Input General'!G54:G57,'Input General'!G73:G76)*'Input Global'!G18</f>
        <v>3389.71675377972</v>
      </c>
      <c r="H14" s="107">
        <f>'Input General'!H53+SUMPRODUCT('Input General'!H54:H57,'Input General'!H73:H76)*'Input Global'!H18</f>
        <v>3389.71675377972</v>
      </c>
      <c r="K14" s="30"/>
      <c r="M14" s="31"/>
      <c r="O14" s="29"/>
      <c r="P14" s="29"/>
    </row>
    <row r="15" spans="1:16" x14ac:dyDescent="0.3">
      <c r="A15" s="19" t="str">
        <f>'Calc (Jurisdiction)'!A15</f>
        <v>Carbon costs</v>
      </c>
      <c r="C15" s="17" t="s">
        <v>63</v>
      </c>
      <c r="D15" s="107">
        <f ca="1">VLOOKUP($B$2,'Input General'!$A$176:$H$180, COLUMN('Input General'!D176),FALSE)*'Input Global'!D$18</f>
        <v>0</v>
      </c>
      <c r="E15" s="107">
        <f ca="1">VLOOKUP($B$2,'Input General'!$A$176:$H$180, COLUMN('Input General'!E176),FALSE)*'Input Global'!E$18</f>
        <v>0</v>
      </c>
      <c r="F15" s="107">
        <f ca="1">VLOOKUP($B$2,'Input General'!$A$176:$H$180, COLUMN('Input General'!F176),FALSE)*'Input Global'!F$18</f>
        <v>14299.774999999998</v>
      </c>
      <c r="G15" s="107">
        <f ca="1">VLOOKUP($B$2,'Input General'!$A$176:$H$180, COLUMN('Input General'!G176),FALSE)*'Input Global'!G$18</f>
        <v>15003.626459204275</v>
      </c>
      <c r="H15" s="107">
        <f ca="1">VLOOKUP($B$2,'Input General'!$A$176:$H$180, COLUMN('Input General'!H176),FALSE)*'Input Global'!H$18</f>
        <v>15770.847275560856</v>
      </c>
      <c r="I15" s="32"/>
    </row>
    <row r="16" spans="1:16" x14ac:dyDescent="0.3">
      <c r="A16" s="19" t="str">
        <f>'Calc (Jurisdiction)'!A16</f>
        <v>Large Scale Renewable Energy Target</v>
      </c>
      <c r="C16" s="17" t="s">
        <v>63</v>
      </c>
      <c r="D16" s="107">
        <f ca="1">VLOOKUP($B$2,'Input General'!$A215:$H220,COLUMN(D16),FALSE)*'Input Global'!D18</f>
        <v>1288</v>
      </c>
      <c r="E16" s="107">
        <f ca="1">VLOOKUP($B$2,'Input General'!$A215:$H220,COLUMN(E16),FALSE)*'Input Global'!E18</f>
        <v>1915.7249999999997</v>
      </c>
      <c r="F16" s="107">
        <f ca="1">VLOOKUP($B$2,'Input General'!$A215:$H220,COLUMN(F16),FALSE)*'Input Global'!F18</f>
        <v>3178.5249999999996</v>
      </c>
      <c r="G16" s="107">
        <f ca="1">VLOOKUP($B$2,'Input General'!$A215:$H220,COLUMN(G16),FALSE)*'Input Global'!G18</f>
        <v>3405.9692485926021</v>
      </c>
      <c r="H16" s="107">
        <f ca="1">VLOOKUP($B$2,'Input General'!$A215:$H220,COLUMN(H16),FALSE)*'Input Global'!H18</f>
        <v>3606.7734894601358</v>
      </c>
      <c r="I16" s="32"/>
    </row>
    <row r="17" spans="1:9" x14ac:dyDescent="0.3">
      <c r="A17" s="19" t="str">
        <f>'Calc (Jurisdiction)'!A17</f>
        <v>Small Scale Renewable Energy Scheme</v>
      </c>
      <c r="C17" s="17" t="s">
        <v>63</v>
      </c>
      <c r="D17" s="107">
        <f ca="1">'Input General'!D91*'Input Global'!D18</f>
        <v>0</v>
      </c>
      <c r="E17" s="107">
        <f ca="1">'Input General'!E91*'Input Global'!E18</f>
        <v>4340.8749999999991</v>
      </c>
      <c r="F17" s="107">
        <f ca="1">'Input General'!F91*'Input Global'!F18</f>
        <v>3852.9749999999995</v>
      </c>
      <c r="G17" s="107">
        <f ca="1">'Input General'!G91*'Input Global'!G18</f>
        <v>1695.7921316614418</v>
      </c>
      <c r="H17" s="107">
        <f ca="1">'Input General'!H91*'Input Global'!H18</f>
        <v>1473.5515673981197</v>
      </c>
      <c r="I17" s="32"/>
    </row>
    <row r="18" spans="1:9" x14ac:dyDescent="0.3">
      <c r="A18" s="19" t="str">
        <f>'Calc (Jurisdiction)'!A18</f>
        <v>Energy savings</v>
      </c>
      <c r="C18" s="17" t="s">
        <v>63</v>
      </c>
      <c r="D18" s="107">
        <f ca="1">VLOOKUP($B$2,'Input General'!$A$103:$H$107,COLUMN(D18),FALSE)*'Input Global'!D$18</f>
        <v>503.99999999999994</v>
      </c>
      <c r="E18" s="107">
        <f ca="1">VLOOKUP($B$2,'Input General'!$A$103:$H$107,COLUMN(E18),FALSE)*'Input Global'!E$18</f>
        <v>782.07500000000005</v>
      </c>
      <c r="F18" s="107">
        <f ca="1">VLOOKUP($B$2,'Input General'!$A$103:$H$107,COLUMN(F18),FALSE)*'Input Global'!F$18</f>
        <v>1085</v>
      </c>
      <c r="G18" s="107">
        <f ca="1">VLOOKUP($B$2,'Input General'!$A$103:$H$107,COLUMN(G18),FALSE)*'Input Global'!G$18</f>
        <v>0</v>
      </c>
      <c r="H18" s="107">
        <f ca="1">VLOOKUP($B$2,'Input General'!$A$103:$H$107,COLUMN(H18),FALSE)*'Input Global'!H$18</f>
        <v>0</v>
      </c>
      <c r="I18" s="32"/>
    </row>
    <row r="19" spans="1:9" x14ac:dyDescent="0.3">
      <c r="A19" s="19" t="str">
        <f>'Calc (Jurisdiction)'!A19</f>
        <v>Blank</v>
      </c>
      <c r="C19" s="17" t="s">
        <v>63</v>
      </c>
      <c r="D19" s="107">
        <f ca="1">VLOOKUP($B$2,'Input General'!$A$123:$H$127,COLUMN(D19),FALSE)*'Input Global'!D$18</f>
        <v>0</v>
      </c>
      <c r="E19" s="107">
        <f ca="1">VLOOKUP($B$2,'Input General'!$A$123:$H$127,COLUMN(E19),FALSE)*'Input Global'!E$18</f>
        <v>0</v>
      </c>
      <c r="F19" s="107">
        <f ca="1">VLOOKUP($B$2,'Input General'!$A$123:$H$127,COLUMN(F19),FALSE)*'Input Global'!F$18</f>
        <v>0</v>
      </c>
      <c r="G19" s="107">
        <f ca="1">VLOOKUP($B$2,'Input General'!$A$123:$H$127,COLUMN(G19),FALSE)*'Input Global'!G$18</f>
        <v>0</v>
      </c>
      <c r="H19" s="107">
        <f ca="1">VLOOKUP($B$2,'Input General'!$A$123:$H$127,COLUMN(H19),FALSE)*'Input Global'!H$18</f>
        <v>0</v>
      </c>
      <c r="I19" s="32"/>
    </row>
    <row r="20" spans="1:9" x14ac:dyDescent="0.3">
      <c r="A20" s="20" t="s">
        <v>61</v>
      </c>
      <c r="B20" s="20"/>
      <c r="C20" s="20" t="s">
        <v>63</v>
      </c>
      <c r="D20" s="107">
        <f ca="1">SUM(D8:D19)</f>
        <v>148520.43726811494</v>
      </c>
      <c r="E20" s="107">
        <f t="shared" ref="E20:H20" ca="1" si="0">SUM(E8:E19)</f>
        <v>170012.80306447696</v>
      </c>
      <c r="F20" s="107">
        <f t="shared" ca="1" si="0"/>
        <v>206759.31321856569</v>
      </c>
      <c r="G20" s="107">
        <f t="shared" ca="1" si="0"/>
        <v>205024.85845506669</v>
      </c>
      <c r="H20" s="107">
        <f t="shared" ca="1" si="0"/>
        <v>211797.60988737628</v>
      </c>
    </row>
    <row r="21" spans="1:9" x14ac:dyDescent="0.3">
      <c r="D21" s="102"/>
    </row>
    <row r="22" spans="1:9" x14ac:dyDescent="0.3">
      <c r="A22" s="18" t="str">
        <f>Dist2</f>
        <v>Essential</v>
      </c>
    </row>
    <row r="23" spans="1:9" x14ac:dyDescent="0.3">
      <c r="A23" s="17" t="str">
        <f>A8</f>
        <v>Wholesale</v>
      </c>
      <c r="C23" s="17" t="s">
        <v>63</v>
      </c>
      <c r="D23" s="107">
        <f ca="1">IF(LEFT($A$22,5)="blank",0,VLOOKUP($B$2,dist2wholesale,COLUMN(D8),FALSE)*'Input Global'!D19)</f>
        <v>50813</v>
      </c>
      <c r="E23" s="107">
        <f ca="1">IF(LEFT($A$22,5)="blank",0,VLOOKUP($B$2,dist2wholesale,COLUMN(E8),FALSE)*'Input Global'!E19)</f>
        <v>49917</v>
      </c>
      <c r="F23" s="107">
        <f ca="1">IF(LEFT($A$22,5)="blank",0,VLOOKUP($B$2,dist2wholesale,COLUMN(F8),FALSE)*'Input Global'!F19)</f>
        <v>52210.365550000002</v>
      </c>
      <c r="G23" s="107">
        <f ca="1">IF(LEFT($A$22,5)="blank",0,VLOOKUP($B$2,dist2wholesale,COLUMN(G8),FALSE)*'Input Global'!G19)</f>
        <v>46434.601042895287</v>
      </c>
      <c r="H23" s="107">
        <f ca="1">IF(LEFT($A$22,5)="blank",0,VLOOKUP($B$2,dist2wholesale,COLUMN(H8),FALSE)*'Input Global'!H19)</f>
        <v>47283.657293826298</v>
      </c>
    </row>
    <row r="24" spans="1:9" x14ac:dyDescent="0.3">
      <c r="A24" s="17" t="str">
        <f t="shared" ref="A24:A34" si="1">A9</f>
        <v>Transmission</v>
      </c>
      <c r="C24" s="17" t="s">
        <v>63</v>
      </c>
      <c r="D24" s="107">
        <f>IF(LEFT($A$22,5)="blank",0,'Input General'!D14+(SUMPRODUCT('Input General'!D15:D18,'Input General'!D78:D81)*'Input Global'!D19))</f>
        <v>14833.721625305587</v>
      </c>
      <c r="E24" s="107">
        <f>IF(LEFT($A$22,5)="blank",0,'Input General'!E14+(SUMPRODUCT('Input General'!E15:E18,'Input General'!E78:E81)*'Input Global'!E19))</f>
        <v>17812.2</v>
      </c>
      <c r="F24" s="107">
        <f>IF(LEFT($A$22,5)="blank",0,'Input General'!F14+(SUMPRODUCT('Input General'!F15:F18,'Input General'!F78:F81)*'Input Global'!F19))</f>
        <v>19373.491992677085</v>
      </c>
      <c r="G24" s="107">
        <f>IF(LEFT($A$22,5)="blank",0,'Input General'!G14+(SUMPRODUCT('Input General'!G15:G18,'Input General'!G78:G81)*'Input Global'!G19))</f>
        <v>20723.175410872456</v>
      </c>
      <c r="H24" s="107">
        <f>IF(LEFT($A$22,5)="blank",0,'Input General'!H14+(SUMPRODUCT('Input General'!H15:H18,'Input General'!H78:H81)*'Input Global'!H19))</f>
        <v>22166.886551588894</v>
      </c>
    </row>
    <row r="25" spans="1:9" x14ac:dyDescent="0.3">
      <c r="A25" s="17" t="str">
        <f t="shared" si="1"/>
        <v>Distribution</v>
      </c>
      <c r="C25" s="17" t="s">
        <v>63</v>
      </c>
      <c r="D25" s="107">
        <f>IF(LEFT($A$22,5)="blank",0,'Input General'!D34+SUMPRODUCT('Input General'!D35:D38,'Input General'!D78:D81)*'Input Global'!D19+'Input General'!D48)</f>
        <v>89723.450000000303</v>
      </c>
      <c r="E25" s="107">
        <f>IF(LEFT($A$22,5)="blank",0,'Input General'!E34+SUMPRODUCT('Input General'!E35:E38,'Input General'!E78:E81)*'Input Global'!E19+'Input General'!E48)</f>
        <v>109620.68</v>
      </c>
      <c r="F25" s="107">
        <f>IF(LEFT($A$22,5)="blank",0,'Input General'!F34+SUMPRODUCT('Input General'!F35:F38,'Input General'!F78:F81)*'Input Global'!F19+'Input General'!F48)</f>
        <v>131321.078752</v>
      </c>
      <c r="G25" s="107">
        <f>IF(LEFT($A$22,5)="blank",0,'Input General'!G34+SUMPRODUCT('Input General'!G35:G38,'Input General'!G78:G81)*'Input Global'!G19+'Input General'!G48)</f>
        <v>128670.07656065673</v>
      </c>
      <c r="H25" s="107">
        <f>IF(LEFT($A$22,5)="blank",0,'Input General'!H34+SUMPRODUCT('Input General'!H35:H38,'Input General'!H78:H81)*'Input Global'!H19+'Input General'!H48)</f>
        <v>131956.28270434189</v>
      </c>
    </row>
    <row r="26" spans="1:9" x14ac:dyDescent="0.3">
      <c r="A26" s="17" t="str">
        <f t="shared" si="1"/>
        <v>Retail</v>
      </c>
      <c r="C26" s="17" t="s">
        <v>63</v>
      </c>
      <c r="D26" s="107">
        <f>IF(LEFT($A$22,5)="blank",0,'Input General'!D94*'Input Global'!D19)</f>
        <v>9240</v>
      </c>
      <c r="E26" s="107">
        <f>IF(LEFT($A$22,5)="blank",0,'Input General'!E94*'Input Global'!E19)</f>
        <v>10010</v>
      </c>
      <c r="F26" s="107">
        <f>IF(LEFT($A$22,5)="blank",0,'Input General'!F94*'Input Global'!F19)</f>
        <v>10475.499999999998</v>
      </c>
      <c r="G26" s="107">
        <f>IF(LEFT($A$22,5)="blank",0,'Input General'!G94*'Input Global'!G19)</f>
        <v>10737.387499999999</v>
      </c>
      <c r="H26" s="107">
        <f>IF(LEFT($A$22,5)="blank",0,'Input General'!H94*'Input Global'!H19)</f>
        <v>11005.822187499998</v>
      </c>
    </row>
    <row r="27" spans="1:9" x14ac:dyDescent="0.3">
      <c r="A27" s="17" t="str">
        <f t="shared" si="1"/>
        <v>Retail and Residual</v>
      </c>
      <c r="C27" s="17" t="s">
        <v>63</v>
      </c>
      <c r="D27" s="107">
        <f ca="1">IF(LEFT($A$22,5)="blank",0,VLOOKUP($B$2,'Input General'!$A$149:$H$153,COLUMN(D12),FALSE)*'Input Global'!D$34)</f>
        <v>9049.1933894091344</v>
      </c>
      <c r="E27" s="107">
        <f ca="1">IF(LEFT($A$22,5)="blank",0,VLOOKUP($B$2,'Input General'!$A$149:$H$153,COLUMN(E12),FALSE)*'Input Global'!E$34)</f>
        <v>10568.43477</v>
      </c>
      <c r="F27" s="107">
        <f ca="1">IF(LEFT($A$22,5)="blank",0,VLOOKUP($B$2,'Input General'!$A$149:$H$153,COLUMN(F12),FALSE)*'Input Global'!F$34)</f>
        <v>12860.670208717282</v>
      </c>
      <c r="G27" s="107">
        <f ca="1">IF(LEFT($A$22,5)="blank",0,VLOOKUP($B$2,'Input General'!$A$149:$H$153,COLUMN(G12),FALSE)*'Input Global'!G$34)</f>
        <v>12391.335809813856</v>
      </c>
      <c r="H27" s="107">
        <f ca="1">IF(LEFT($A$22,5)="blank",0,VLOOKUP($B$2,'Input General'!$A$149:$H$153,COLUMN(H12),FALSE)*'Input Global'!H$34)</f>
        <v>12789.839461936283</v>
      </c>
      <c r="I27" s="32"/>
    </row>
    <row r="28" spans="1:9" x14ac:dyDescent="0.3">
      <c r="A28" s="17" t="str">
        <f t="shared" si="1"/>
        <v>Green Schemes</v>
      </c>
      <c r="D28" s="103"/>
      <c r="E28" s="103"/>
      <c r="F28" s="103"/>
      <c r="G28" s="103"/>
      <c r="H28" s="103"/>
    </row>
    <row r="29" spans="1:9" x14ac:dyDescent="0.3">
      <c r="A29" s="19" t="str">
        <f t="shared" si="1"/>
        <v>Feed-in Tariffs</v>
      </c>
      <c r="C29" s="17" t="s">
        <v>63</v>
      </c>
      <c r="D29" s="107">
        <f>IF(LEFT($A$22,5)="blank",0,'Input General'!D59+SUMPRODUCT('Input General'!D60:D63,'Input General'!D78:D81)*'Input Global'!D19)</f>
        <v>1175.4837341225127</v>
      </c>
      <c r="E29" s="107">
        <f>IF(LEFT($A$22,5)="blank",0,'Input General'!E59+SUMPRODUCT('Input General'!E60:E63,'Input General'!E78:E81)*'Input Global'!E19)</f>
        <v>1255.8</v>
      </c>
      <c r="F29" s="107">
        <f>IF(LEFT($A$22,5)="blank",0,'Input General'!F59+SUMPRODUCT('Input General'!F60:F63,'Input General'!F78:F81)*'Input Global'!F19)</f>
        <v>2250.6231260133077</v>
      </c>
      <c r="G29" s="107">
        <f>IF(LEFT($A$22,5)="blank",0,'Input General'!G59+SUMPRODUCT('Input General'!G60:G63,'Input General'!G78:G81)*'Input Global'!G19)</f>
        <v>2778.1691867508275</v>
      </c>
      <c r="H29" s="107">
        <f>IF(LEFT($A$22,5)="blank",0,'Input General'!H59+SUMPRODUCT('Input General'!H60:H63,'Input General'!H78:H81)*'Input Global'!H19)</f>
        <v>2778.1691867508275</v>
      </c>
    </row>
    <row r="30" spans="1:9" x14ac:dyDescent="0.3">
      <c r="A30" s="19" t="str">
        <f t="shared" si="1"/>
        <v>Carbon costs</v>
      </c>
      <c r="C30" s="17" t="s">
        <v>63</v>
      </c>
      <c r="D30" s="107">
        <f ca="1">IF(LEFT($A$22,5)="blank",0,VLOOKUP($B$2,'Input General'!$A$182:$H$186,COLUMN('Input General'!D182),FALSE)*'Input Global'!D$19)</f>
        <v>0</v>
      </c>
      <c r="E30" s="107">
        <f ca="1">IF(LEFT($A$22,5)="blank",0,VLOOKUP($B$2,'Input General'!$A$182:$H$186,COLUMN('Input General'!E182),FALSE)*'Input Global'!E$19)</f>
        <v>0</v>
      </c>
      <c r="F30" s="107">
        <f ca="1">IF(LEFT($A$22,5)="blank",0,VLOOKUP($B$2,'Input General'!$A$182:$H$186,COLUMN('Input General'!F182),FALSE)*'Input Global'!F$19)</f>
        <v>14235.199999999999</v>
      </c>
      <c r="G30" s="107">
        <f ca="1">IF(LEFT($A$22,5)="blank",0,VLOOKUP($B$2,'Input General'!$A$182:$H$186,COLUMN('Input General'!G182),FALSE)*'Input Global'!G$19)</f>
        <v>14940.532571145313</v>
      </c>
      <c r="H30" s="107">
        <f ca="1">IF(LEFT($A$22,5)="blank",0,VLOOKUP($B$2,'Input General'!$A$182:$H$186,COLUMN('Input General'!H182),FALSE)*'Input Global'!H$19)</f>
        <v>16503.737189709107</v>
      </c>
      <c r="I30" s="32"/>
    </row>
    <row r="31" spans="1:9" x14ac:dyDescent="0.3">
      <c r="A31" s="19" t="str">
        <f t="shared" si="1"/>
        <v>Large Scale Renewable Energy Target</v>
      </c>
      <c r="C31" s="17" t="s">
        <v>63</v>
      </c>
      <c r="D31" s="107">
        <f ca="1">IF(LEFT($A$22,5)="blank",0,VLOOKUP($B$2,'Input General'!$A221:$H226,COLUMN(D16),FALSE)*'Input Global'!D19)</f>
        <v>1288</v>
      </c>
      <c r="E31" s="107">
        <f ca="1">IF(LEFT($A$22,5)="blank",0,VLOOKUP($B$2,'Input General'!$A221:$H226,COLUMN(E16),FALSE)*'Input Global'!E19)</f>
        <v>1901.3749999999995</v>
      </c>
      <c r="F31" s="107">
        <f ca="1">IF(LEFT($A$22,5)="blank",0,VLOOKUP($B$2,'Input General'!$A221:$H226,COLUMN(F16),FALSE)*'Input Global'!F19)</f>
        <v>3185.7</v>
      </c>
      <c r="G31" s="107">
        <f ca="1">IF(LEFT($A$22,5)="blank",0,VLOOKUP($B$2,'Input General'!$A221:$H226,COLUMN(G16),FALSE)*'Input Global'!G19)</f>
        <v>3413.657666760982</v>
      </c>
      <c r="H31" s="107">
        <f ca="1">IF(LEFT($A$22,5)="blank",0,VLOOKUP($B$2,'Input General'!$A221:$H226,COLUMN(H16),FALSE)*'Input Global'!H19)</f>
        <v>3614.9151903392785</v>
      </c>
      <c r="I31" s="32"/>
    </row>
    <row r="32" spans="1:9" x14ac:dyDescent="0.3">
      <c r="A32" s="19" t="str">
        <f t="shared" si="1"/>
        <v>Small Scale Renewable Energy Scheme</v>
      </c>
      <c r="C32" s="17" t="s">
        <v>63</v>
      </c>
      <c r="D32" s="107">
        <f ca="1">IF(LEFT($A$22,5)="blank",0,'Input General'!D95*'Input Global'!D$19)</f>
        <v>0</v>
      </c>
      <c r="E32" s="107">
        <f ca="1">IF(LEFT($A$22,5)="blank",0,'Input General'!E95*'Input Global'!E$19)</f>
        <v>4412.625</v>
      </c>
      <c r="F32" s="107">
        <f ca="1">IF(LEFT($A$22,5)="blank",0,'Input General'!F95*'Input Global'!F$19)</f>
        <v>4025.1750000000002</v>
      </c>
      <c r="G32" s="107">
        <f ca="1">IF(LEFT($A$22,5)="blank",0,'Input General'!G95*'Input Global'!G$19)</f>
        <v>1771.5817241379309</v>
      </c>
      <c r="H32" s="107">
        <f ca="1">IF(LEFT($A$22,5)="blank",0,'Input General'!H95*'Input Global'!H$19)</f>
        <v>1539.4086206896557</v>
      </c>
      <c r="I32" s="32"/>
    </row>
    <row r="33" spans="1:9" x14ac:dyDescent="0.3">
      <c r="A33" s="19" t="str">
        <f t="shared" si="1"/>
        <v>Energy savings</v>
      </c>
      <c r="C33" s="17" t="s">
        <v>63</v>
      </c>
      <c r="D33" s="107">
        <f ca="1">IF(LEFT($A$22,5)="blank",0,VLOOKUP($B$2,'Input General'!$A$109:$H$113,COLUMN(D33),FALSE)*'Input Global'!D$19)</f>
        <v>503.99999999999994</v>
      </c>
      <c r="E33" s="107">
        <f ca="1">IF(LEFT($A$22,5)="blank",0,VLOOKUP($B$2,'Input General'!$A$109:$H$113,COLUMN(E33),FALSE)*'Input Global'!E$19)</f>
        <v>782.07500000000005</v>
      </c>
      <c r="F33" s="107">
        <f ca="1">IF(LEFT($A$22,5)="blank",0,VLOOKUP($B$2,'Input General'!$A$109:$H$113,COLUMN(F33),FALSE)*'Input Global'!F$19)</f>
        <v>1083.425</v>
      </c>
      <c r="G33" s="107">
        <f ca="1">IF(LEFT($A$22,5)="blank",0,VLOOKUP($B$2,'Input General'!$A$109:$H$113,COLUMN(G33),FALSE)*'Input Global'!G$19)</f>
        <v>0</v>
      </c>
      <c r="H33" s="107">
        <f ca="1">IF(LEFT($A$22,5)="blank",0,VLOOKUP($B$2,'Input General'!$A$109:$H$113,COLUMN(H33),FALSE)*'Input Global'!H$19)</f>
        <v>0</v>
      </c>
      <c r="I33" s="32"/>
    </row>
    <row r="34" spans="1:9" x14ac:dyDescent="0.3">
      <c r="A34" s="19" t="str">
        <f t="shared" si="1"/>
        <v>Blank</v>
      </c>
      <c r="C34" s="17" t="s">
        <v>63</v>
      </c>
      <c r="D34" s="107">
        <f ca="1">IF(LEFT($A$22,5)="blank",0,VLOOKUP($B$2,'Input General'!$A$129:$H$133,COLUMN(D34),FALSE)*'Input Global'!D$19)</f>
        <v>0</v>
      </c>
      <c r="E34" s="107">
        <f ca="1">IF(LEFT($A$22,5)="blank",0,VLOOKUP($B$2,'Input General'!$A$129:$H$133,COLUMN(E34),FALSE)*'Input Global'!E$19)</f>
        <v>0</v>
      </c>
      <c r="F34" s="107">
        <f ca="1">IF(LEFT($A$22,5)="blank",0,VLOOKUP($B$2,'Input General'!$A$129:$H$133,COLUMN(F34),FALSE)*'Input Global'!F$19)</f>
        <v>0</v>
      </c>
      <c r="G34" s="107">
        <f ca="1">IF(LEFT($A$22,5)="blank",0,VLOOKUP($B$2,'Input General'!$A$129:$H$133,COLUMN(G34),FALSE)*'Input Global'!G$19)</f>
        <v>0</v>
      </c>
      <c r="H34" s="107">
        <f ca="1">IF(LEFT($A$22,5)="blank",0,VLOOKUP($B$2,'Input General'!$A$129:$H$133,COLUMN(H34),FALSE)*'Input Global'!H$19)</f>
        <v>0</v>
      </c>
      <c r="I34" s="32"/>
    </row>
    <row r="35" spans="1:9" x14ac:dyDescent="0.3">
      <c r="A35" s="20" t="s">
        <v>61</v>
      </c>
      <c r="B35" s="20"/>
      <c r="C35" s="20" t="s">
        <v>63</v>
      </c>
      <c r="D35" s="107">
        <f ca="1">SUM(D23:D34)</f>
        <v>176626.84874883754</v>
      </c>
      <c r="E35" s="107">
        <f t="shared" ref="E35:H35" ca="1" si="2">SUM(E23:E34)</f>
        <v>206280.18977</v>
      </c>
      <c r="F35" s="107">
        <f t="shared" ca="1" si="2"/>
        <v>251021.2296294077</v>
      </c>
      <c r="G35" s="107">
        <f t="shared" ca="1" si="2"/>
        <v>241860.5174730334</v>
      </c>
      <c r="H35" s="107">
        <f t="shared" ca="1" si="2"/>
        <v>249638.71838668225</v>
      </c>
    </row>
    <row r="37" spans="1:9" x14ac:dyDescent="0.3">
      <c r="A37" s="18" t="str">
        <f>Dist3</f>
        <v>Endeavour</v>
      </c>
    </row>
    <row r="38" spans="1:9" x14ac:dyDescent="0.3">
      <c r="A38" s="17" t="str">
        <f>A23</f>
        <v>Wholesale</v>
      </c>
      <c r="C38" s="17" t="s">
        <v>63</v>
      </c>
      <c r="D38" s="107">
        <f ca="1">IF(LEFT($A$37,5)="blank",0,VLOOKUP($B$2,dist3wholesale,COLUMN(D38),FALSE)*'Input Global'!D20)</f>
        <v>54537</v>
      </c>
      <c r="E38" s="107">
        <f ca="1">IF(LEFT($A$37,5)="blank",0,VLOOKUP($B$2,dist3wholesale,COLUMN(E38),FALSE)*'Input Global'!E20)</f>
        <v>54831</v>
      </c>
      <c r="F38" s="107">
        <f ca="1">IF(LEFT($A$37,5)="blank",0,VLOOKUP($B$2,dist3wholesale,COLUMN(F38),FALSE)*'Input Global'!F20)</f>
        <v>55885.2</v>
      </c>
      <c r="G38" s="107">
        <f ca="1">IF(LEFT($A$37,5)="blank",0,VLOOKUP($B$2,dist3wholesale,COLUMN(G38),FALSE)*'Input Global'!G20)</f>
        <v>51690.914957105851</v>
      </c>
      <c r="H38" s="107">
        <f ca="1">IF(LEFT($A$37,5)="blank",0,VLOOKUP($B$2,dist3wholesale,COLUMN(H38),FALSE)*'Input Global'!H20)</f>
        <v>52641.224088441966</v>
      </c>
    </row>
    <row r="39" spans="1:9" x14ac:dyDescent="0.3">
      <c r="A39" s="17" t="str">
        <f t="shared" ref="A39:A49" si="3">A24</f>
        <v>Transmission</v>
      </c>
      <c r="C39" s="17" t="s">
        <v>63</v>
      </c>
      <c r="D39" s="107">
        <f>IF(LEFT($A$37,5)="blank",0,'Input General'!D20+(SUMPRODUCT('Input General'!D21:D24,'Input General'!D83:D86)*'Input Global'!D$20))</f>
        <v>8745.7830217251831</v>
      </c>
      <c r="E39" s="107">
        <f>IF(LEFT($A$37,5)="blank",0,'Input General'!E20+(SUMPRODUCT('Input General'!E21:E24,'Input General'!E83:E86)*'Input Global'!E$20))</f>
        <v>8809.520747888615</v>
      </c>
      <c r="F39" s="107">
        <f>IF(LEFT($A$37,5)="blank",0,'Input General'!F20+(SUMPRODUCT('Input General'!F21:F24,'Input General'!F83:F86)*'Input Global'!F$20))</f>
        <v>9954.4943532067391</v>
      </c>
      <c r="G39" s="107">
        <f>IF(LEFT($A$37,5)="blank",0,'Input General'!G20+(SUMPRODUCT('Input General'!G21:G24,'Input General'!G83:G86)*'Input Global'!G$20))</f>
        <v>10647.989153737328</v>
      </c>
      <c r="H39" s="107">
        <f>IF(LEFT($A$37,5)="blank",0,'Input General'!H20+(SUMPRODUCT('Input General'!H21:H24,'Input General'!H83:H86)*'Input Global'!H$20))</f>
        <v>11389.797311159626</v>
      </c>
    </row>
    <row r="40" spans="1:9" x14ac:dyDescent="0.3">
      <c r="A40" s="17" t="str">
        <f t="shared" si="3"/>
        <v>Distribution</v>
      </c>
      <c r="C40" s="17" t="s">
        <v>63</v>
      </c>
      <c r="D40" s="107">
        <f>IF(LEFT($A$37,5)="blank",0,'Input General'!D40+SUMPRODUCT('Input General'!D41:D44,'Input General'!D83:D86)*'Input Global'!D$20+'Input General'!D49)</f>
        <v>67530.028345028171</v>
      </c>
      <c r="E40" s="107">
        <f>IF(LEFT($A$37,5)="blank",0,'Input General'!E40+SUMPRODUCT('Input General'!E41:E44,'Input General'!E83:E86)*'Input Global'!E$20+'Input General'!E49)</f>
        <v>78929.222741037331</v>
      </c>
      <c r="F40" s="107">
        <f>IF(LEFT($A$37,5)="blank",0,'Input General'!F40+SUMPRODUCT('Input General'!F41:F44,'Input General'!F83:F86)*'Input Global'!F$20+'Input General'!F49)</f>
        <v>56892.195610554503</v>
      </c>
      <c r="G40" s="107">
        <f>IF(LEFT($A$37,5)="blank",0,'Input General'!G40+SUMPRODUCT('Input General'!G41:G44,'Input General'!G83:G86)*'Input Global'!G$20+'Input General'!G49)</f>
        <v>51078.609472204276</v>
      </c>
      <c r="H40" s="107">
        <f>IF(LEFT($A$37,5)="blank",0,'Input General'!H40+SUMPRODUCT('Input General'!H41:H44,'Input General'!H83:H86)*'Input Global'!H$20+'Input General'!H49)</f>
        <v>53202.805149009386</v>
      </c>
    </row>
    <row r="41" spans="1:9" x14ac:dyDescent="0.3">
      <c r="A41" s="17" t="str">
        <f t="shared" si="3"/>
        <v>Retail</v>
      </c>
      <c r="C41" s="17" t="s">
        <v>63</v>
      </c>
      <c r="D41" s="107">
        <f>IF(LEFT($A$37,5)="blank",0,'Input General'!D98*'Input Global'!D$20)</f>
        <v>7980.0000000000009</v>
      </c>
      <c r="E41" s="107">
        <f>IF(LEFT($A$37,5)="blank",0,'Input General'!E98*'Input Global'!E$20)</f>
        <v>9240</v>
      </c>
      <c r="F41" s="107">
        <f>IF(LEFT($A$37,5)="blank",0,'Input General'!F98*'Input Global'!F$20)</f>
        <v>9686.2499999999982</v>
      </c>
      <c r="G41" s="107">
        <f>IF(LEFT($A$37,5)="blank",0,'Input General'!G98*'Input Global'!G$20)</f>
        <v>9928.4062499999964</v>
      </c>
      <c r="H41" s="107">
        <f>IF(LEFT($A$37,5)="blank",0,'Input General'!H98*'Input Global'!H$20)</f>
        <v>10176.616406249996</v>
      </c>
    </row>
    <row r="42" spans="1:9" x14ac:dyDescent="0.3">
      <c r="A42" s="17" t="str">
        <f t="shared" si="3"/>
        <v>Retail and Residual</v>
      </c>
      <c r="C42" s="17" t="s">
        <v>63</v>
      </c>
      <c r="D42" s="107">
        <f ca="1">IF(LEFT($A$37,5)="blank",0,VLOOKUP($B$2,'Input General'!$A$155:$H$159,COLUMN(D27),FALSE)*'Input Global'!D$35)</f>
        <v>7677.6882138046822</v>
      </c>
      <c r="E42" s="107">
        <f ca="1">IF(LEFT($A$37,5)="blank",0,VLOOKUP($B$2,'Input General'!$A$155:$H$159,COLUMN(E27),FALSE)*'Input Global'!E$35)</f>
        <v>8664.5364347825889</v>
      </c>
      <c r="F42" s="107">
        <f ca="1">IF(LEFT($A$37,5)="blank",0,VLOOKUP($B$2,'Input General'!$A$155:$H$159,COLUMN(F27),FALSE)*'Input Global'!F$35)</f>
        <v>9839.6715580431064</v>
      </c>
      <c r="G42" s="107">
        <f ca="1">IF(LEFT($A$37,5)="blank",0,VLOOKUP($B$2,'Input General'!$A$155:$H$159,COLUMN(G27),FALSE)*'Input Global'!G$35)</f>
        <v>9568.8762731563784</v>
      </c>
      <c r="H42" s="107">
        <f ca="1">IF(LEFT($A$37,5)="blank",0,VLOOKUP($B$2,'Input General'!$A$155:$H$159,COLUMN(H27),FALSE)*'Input Global'!H$35)</f>
        <v>9827.9066686973256</v>
      </c>
    </row>
    <row r="43" spans="1:9" x14ac:dyDescent="0.3">
      <c r="A43" s="17" t="str">
        <f t="shared" si="3"/>
        <v>Green Schemes</v>
      </c>
      <c r="D43" s="103"/>
      <c r="E43" s="103"/>
      <c r="F43" s="103"/>
      <c r="G43" s="103"/>
      <c r="H43" s="103"/>
    </row>
    <row r="44" spans="1:9" x14ac:dyDescent="0.3">
      <c r="A44" s="19" t="str">
        <f t="shared" si="3"/>
        <v>Feed-in Tariffs</v>
      </c>
      <c r="C44" s="17" t="s">
        <v>63</v>
      </c>
      <c r="D44" s="107">
        <f>IF(LEFT($A$37,5)="blank",0,'Input General'!D65+SUMPRODUCT('Input General'!D66:D69,'Input General'!D83:D86)*'Input Global'!D$20)</f>
        <v>1594.6</v>
      </c>
      <c r="E44" s="107">
        <f>IF(LEFT($A$37,5)="blank",0,'Input General'!E65+SUMPRODUCT('Input General'!E66:E69,'Input General'!E83:E86)*'Input Global'!E$20)</f>
        <v>1605.9599329738458</v>
      </c>
      <c r="F44" s="107">
        <f>IF(LEFT($A$37,5)="blank",0,'Input General'!F65+SUMPRODUCT('Input General'!F66:F69,'Input General'!F83:F86)*'Input Global'!F$20)</f>
        <v>27453.999999999996</v>
      </c>
      <c r="G44" s="107">
        <f>IF(LEFT($A$37,5)="blank",0,'Input General'!G65+SUMPRODUCT('Input General'!G66:G69,'Input General'!G83:G86)*'Input Global'!G$20)</f>
        <v>33889.217599999989</v>
      </c>
      <c r="H44" s="107">
        <f>IF(LEFT($A$37,5)="blank",0,'Input General'!H65+SUMPRODUCT('Input General'!H66:H69,'Input General'!H83:H86)*'Input Global'!H$20)</f>
        <v>33889.217599999989</v>
      </c>
    </row>
    <row r="45" spans="1:9" x14ac:dyDescent="0.3">
      <c r="A45" s="19" t="str">
        <f t="shared" si="3"/>
        <v>Carbon costs</v>
      </c>
      <c r="C45" s="17" t="s">
        <v>63</v>
      </c>
      <c r="D45" s="107">
        <f ca="1">IF(LEFT($A$37,5)="blank",0,VLOOKUP($B$2,'Input General'!$A$188:$H$192,COLUMN('Input General'!D188),FALSE)*'Input Global'!D$20)</f>
        <v>0</v>
      </c>
      <c r="E45" s="107">
        <f ca="1">IF(LEFT($A$37,5)="blank",0,VLOOKUP($B$2,'Input General'!$A$188:$H$192,COLUMN('Input General'!E188),FALSE)*'Input Global'!E$20)</f>
        <v>0</v>
      </c>
      <c r="F45" s="107">
        <f ca="1">IF(LEFT($A$37,5)="blank",0,VLOOKUP($B$2,'Input General'!$A$188:$H$192,COLUMN('Input General'!F188),FALSE)*'Input Global'!F$20)</f>
        <v>14097.999999999998</v>
      </c>
      <c r="G45" s="107">
        <f ca="1">IF(LEFT($A$37,5)="blank",0,VLOOKUP($B$2,'Input General'!$A$188:$H$192,COLUMN('Input General'!G188),FALSE)*'Input Global'!G$20)</f>
        <v>14794.588861571907</v>
      </c>
      <c r="H45" s="107">
        <f ca="1">IF(LEFT($A$37,5)="blank",0,VLOOKUP($B$2,'Input General'!$A$188:$H$192,COLUMN('Input General'!H188),FALSE)*'Input Global'!H$20)</f>
        <v>15553.356315103101</v>
      </c>
    </row>
    <row r="46" spans="1:9" x14ac:dyDescent="0.3">
      <c r="A46" s="19" t="str">
        <f t="shared" si="3"/>
        <v>Large Scale Renewable Energy Target</v>
      </c>
      <c r="C46" s="17" t="s">
        <v>63</v>
      </c>
      <c r="D46" s="107">
        <f ca="1">IF(LEFT($A$37,5)="blank",0,VLOOKUP($B$2,'Input General'!$A227:$H232,COLUMN(D16),FALSE)*'Input Global'!D20)</f>
        <v>1288</v>
      </c>
      <c r="E46" s="107">
        <f ca="1">IF(LEFT($A$37,5)="blank",0,VLOOKUP($B$2,'Input General'!$A227:$H232,COLUMN(E16),FALSE)*'Input Global'!E20)</f>
        <v>1894.2</v>
      </c>
      <c r="F46" s="107">
        <f ca="1">IF(LEFT($A$37,5)="blank",0,VLOOKUP($B$2,'Input General'!$A227:$H232,COLUMN(F16),FALSE)*'Input Global'!F20)</f>
        <v>3199</v>
      </c>
      <c r="G46" s="107">
        <f ca="1">IF(LEFT($A$37,5)="blank",0,VLOOKUP($B$2,'Input General'!$A227:$H232,COLUMN(G16),FALSE)*'Input Global'!G20)</f>
        <v>3427.9093687316399</v>
      </c>
      <c r="H46" s="107">
        <f ca="1">IF(LEFT($A$37,5)="blank",0,VLOOKUP($B$2,'Input General'!$A227:$H232,COLUMN(H16),FALSE)*'Input Global'!H20)</f>
        <v>3630.0071236762269</v>
      </c>
    </row>
    <row r="47" spans="1:9" x14ac:dyDescent="0.3">
      <c r="A47" s="19" t="str">
        <f t="shared" si="3"/>
        <v>Small Scale Renewable Energy Scheme</v>
      </c>
      <c r="C47" s="17" t="s">
        <v>63</v>
      </c>
      <c r="D47" s="107">
        <f ca="1">IF(LEFT($A$37,5)="blank",0,'Input General'!D99*'Input Global'!D$20)</f>
        <v>0</v>
      </c>
      <c r="E47" s="107">
        <f ca="1">IF(LEFT($A$37,5)="blank",0,'Input General'!E99*'Input Global'!E$20)</f>
        <v>4362.3999999999996</v>
      </c>
      <c r="F47" s="107">
        <f ca="1">IF(LEFT($A$37,5)="blank",0,'Input General'!F99*'Input Global'!F$20)</f>
        <v>3961.9999999999995</v>
      </c>
      <c r="G47" s="107">
        <f ca="1">IF(LEFT($A$37,5)="blank",0,'Input General'!G99*'Input Global'!G$20)</f>
        <v>1743.7768025078367</v>
      </c>
      <c r="H47" s="107">
        <f ca="1">IF(LEFT($A$37,5)="blank",0,'Input General'!H99*'Input Global'!H$20)</f>
        <v>1515.2476489028213</v>
      </c>
    </row>
    <row r="48" spans="1:9" x14ac:dyDescent="0.3">
      <c r="A48" s="19" t="str">
        <f t="shared" si="3"/>
        <v>Energy savings</v>
      </c>
      <c r="C48" s="17" t="s">
        <v>63</v>
      </c>
      <c r="D48" s="107">
        <f ca="1">IF(LEFT($A$37,5)="blank",0,VLOOKUP($B$2,'Input General'!$A$115:$H$119,COLUMN(D33),FALSE)*'Input Global'!D$20)</f>
        <v>503.99999999999994</v>
      </c>
      <c r="E48" s="107">
        <f ca="1">IF(LEFT($A$37,5)="blank",0,VLOOKUP($B$2,'Input General'!$A$115:$H$119,COLUMN(E33),FALSE)*'Input Global'!E$20)</f>
        <v>782.07500000000005</v>
      </c>
      <c r="F48" s="107">
        <f ca="1">IF(LEFT($A$37,5)="blank",0,VLOOKUP($B$2,'Input General'!$A$115:$H$119,COLUMN(F33),FALSE)*'Input Global'!F$20)</f>
        <v>1085</v>
      </c>
      <c r="G48" s="107">
        <f ca="1">IF(LEFT($A$37,5)="blank",0,VLOOKUP($B$2,'Input General'!$A$115:$H$119,COLUMN(G33),FALSE)*'Input Global'!G$20)</f>
        <v>0</v>
      </c>
      <c r="H48" s="107">
        <f ca="1">IF(LEFT($A$37,5)="blank",0,VLOOKUP($B$2,'Input General'!$A$115:$H$119,COLUMN(H33),FALSE)*'Input Global'!H$20)</f>
        <v>0</v>
      </c>
    </row>
    <row r="49" spans="1:8" x14ac:dyDescent="0.3">
      <c r="A49" s="19" t="str">
        <f t="shared" si="3"/>
        <v>Blank</v>
      </c>
      <c r="C49" s="17" t="s">
        <v>63</v>
      </c>
      <c r="D49" s="107">
        <f ca="1">IF(LEFT($A$37,5)="blank",0,VLOOKUP($B$2,'Input General'!$A$135:$H$139,COLUMN(D49),FALSE)*'Input Global'!D$20)</f>
        <v>0</v>
      </c>
      <c r="E49" s="107">
        <f ca="1">IF(LEFT($A$37,5)="blank",0,VLOOKUP($B$2,'Input General'!$A$135:$H$139,COLUMN(E49),FALSE)*'Input Global'!E$20)</f>
        <v>0</v>
      </c>
      <c r="F49" s="107">
        <f ca="1">IF(LEFT($A$37,5)="blank",0,VLOOKUP($B$2,'Input General'!$A$135:$H$139,COLUMN(F49),FALSE)*'Input Global'!F$20)</f>
        <v>0</v>
      </c>
      <c r="G49" s="107">
        <f ca="1">IF(LEFT($A$37,5)="blank",0,VLOOKUP($B$2,'Input General'!$A$135:$H$139,COLUMN(G49),FALSE)*'Input Global'!G$20)</f>
        <v>0</v>
      </c>
      <c r="H49" s="107">
        <f ca="1">IF(LEFT($A$37,5)="blank",0,VLOOKUP($B$2,'Input General'!$A$135:$H$139,COLUMN(H49),FALSE)*'Input Global'!H$20)</f>
        <v>0</v>
      </c>
    </row>
    <row r="50" spans="1:8" x14ac:dyDescent="0.3">
      <c r="A50" s="20" t="s">
        <v>61</v>
      </c>
      <c r="B50" s="20"/>
      <c r="C50" s="20" t="s">
        <v>63</v>
      </c>
      <c r="D50" s="107">
        <f ca="1">SUM(D38:D49)</f>
        <v>149857.09958055805</v>
      </c>
      <c r="E50" s="107">
        <f t="shared" ref="E50:H50" ca="1" si="4">SUM(E38:E49)</f>
        <v>169118.91485668239</v>
      </c>
      <c r="F50" s="107">
        <f t="shared" ca="1" si="4"/>
        <v>192055.81152180434</v>
      </c>
      <c r="G50" s="107">
        <f t="shared" ca="1" si="4"/>
        <v>186770.28873901523</v>
      </c>
      <c r="H50" s="107">
        <f t="shared" ca="1" si="4"/>
        <v>191826.17831124045</v>
      </c>
    </row>
    <row r="51" spans="1:8" hidden="1" x14ac:dyDescent="0.3"/>
    <row r="52" spans="1:8" hidden="1" x14ac:dyDescent="0.3">
      <c r="A52" s="18" t="str">
        <f>Dist4</f>
        <v>blank</v>
      </c>
    </row>
    <row r="53" spans="1:8" hidden="1" x14ac:dyDescent="0.3">
      <c r="A53" s="17" t="str">
        <f>A38</f>
        <v>Wholesale</v>
      </c>
      <c r="C53" s="17" t="s">
        <v>63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s="17" t="str">
        <f t="shared" ref="A54:A64" si="5">A39</f>
        <v>Transmission</v>
      </c>
      <c r="C54" s="17" t="s">
        <v>63</v>
      </c>
      <c r="D54" s="107">
        <f>IF(LEFT($A$52,5)="blank",0,'Input General'!#REF!+(SUMPRODUCT('Input General'!#REF!,'Input General'!#REF!)*'Input Global'!D$21))</f>
        <v>0</v>
      </c>
      <c r="E54" s="107">
        <f>IF(LEFT($A$52,5)="blank",0,'Input General'!#REF!+(SUMPRODUCT('Input General'!#REF!,'Input General'!#REF!)*'Input Global'!E$21))</f>
        <v>0</v>
      </c>
      <c r="F54" s="107">
        <f>IF(LEFT($A$52,5)="blank",0,'Input General'!#REF!+(SUMPRODUCT('Input General'!#REF!,'Input General'!#REF!)*'Input Global'!F$21))</f>
        <v>0</v>
      </c>
      <c r="G54" s="107">
        <f>IF(LEFT($A$52,5)="blank",0,'Input General'!#REF!+(SUMPRODUCT('Input General'!#REF!,'Input General'!#REF!)*'Input Global'!G$21))</f>
        <v>0</v>
      </c>
      <c r="H54" s="107">
        <f>IF(LEFT($A$52,5)="blank",0,'Input General'!#REF!+(SUMPRODUCT('Input General'!#REF!,'Input General'!#REF!)*'Input Global'!H$21))</f>
        <v>0</v>
      </c>
    </row>
    <row r="55" spans="1:8" hidden="1" x14ac:dyDescent="0.3">
      <c r="A55" s="17" t="str">
        <f t="shared" si="5"/>
        <v>Distribution</v>
      </c>
      <c r="C55" s="17" t="s">
        <v>63</v>
      </c>
      <c r="D55" s="107">
        <f>IF(LEFT($A$52,5)="blank",0,'Input General'!#REF!+SUMPRODUCT('Input General'!#REF!,'Input General'!#REF!)*'Input Global'!D$21+'Input General'!#REF!)</f>
        <v>0</v>
      </c>
      <c r="E55" s="107">
        <f>IF(LEFT($A$52,5)="blank",0,'Input General'!#REF!+SUMPRODUCT('Input General'!#REF!,'Input General'!#REF!)*'Input Global'!E$21+'Input General'!#REF!)</f>
        <v>0</v>
      </c>
      <c r="F55" s="107">
        <f>IF(LEFT($A$52,5)="blank",0,'Input General'!#REF!+SUMPRODUCT('Input General'!#REF!,'Input General'!#REF!)*'Input Global'!F$21+'Input General'!#REF!)</f>
        <v>0</v>
      </c>
      <c r="G55" s="107">
        <f>IF(LEFT($A$52,5)="blank",0,'Input General'!#REF!+SUMPRODUCT('Input General'!#REF!,'Input General'!#REF!)*'Input Global'!G$21+'Input General'!#REF!)</f>
        <v>0</v>
      </c>
      <c r="H55" s="107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s="17" t="str">
        <f t="shared" si="5"/>
        <v>Retail</v>
      </c>
      <c r="C56" s="17" t="s">
        <v>63</v>
      </c>
      <c r="D56" s="107">
        <f>IF(LEFT($A$52,5)="blank",0,'Input General'!#REF!*'Input Global'!D$21)</f>
        <v>0</v>
      </c>
      <c r="E56" s="107">
        <f>IF(LEFT($A$52,5)="blank",0,'Input General'!#REF!*'Input Global'!E$21)</f>
        <v>0</v>
      </c>
      <c r="F56" s="107">
        <f>IF(LEFT($A$52,5)="blank",0,'Input General'!#REF!*'Input Global'!F$21)</f>
        <v>0</v>
      </c>
      <c r="G56" s="107">
        <f>IF(LEFT($A$52,5)="blank",0,'Input General'!#REF!*'Input Global'!G$21)</f>
        <v>0</v>
      </c>
      <c r="H56" s="107">
        <f>IF(LEFT($A$52,5)="blank",0,'Input General'!#REF!*'Input Global'!H$21)</f>
        <v>0</v>
      </c>
    </row>
    <row r="57" spans="1:8" hidden="1" x14ac:dyDescent="0.3">
      <c r="A57" s="17" t="str">
        <f t="shared" si="5"/>
        <v>Retail and Residual</v>
      </c>
      <c r="C57" s="17" t="s">
        <v>63</v>
      </c>
      <c r="D57" s="107">
        <f>IF(LEFT($A$52,5)="blank",0,VLOOKUP($B$2,'Input General'!$A$161:$H$165,COLUMN(D57),FALSE)*'Input Global'!D$36)</f>
        <v>0</v>
      </c>
      <c r="E57" s="107">
        <f>IF(LEFT($A$52,5)="blank",0,VLOOKUP($B$2,'Input General'!$A$161:$H$165,COLUMN(E57),FALSE)*'Input Global'!E$36)</f>
        <v>0</v>
      </c>
      <c r="F57" s="107">
        <f>IF(LEFT($A$52,5)="blank",0,VLOOKUP($B$2,'Input General'!$A$161:$H$165,COLUMN(F57),FALSE)*'Input Global'!F$36)</f>
        <v>0</v>
      </c>
      <c r="G57" s="107">
        <f>IF(LEFT($A$52,5)="blank",0,VLOOKUP($B$2,'Input General'!$A$161:$H$165,COLUMN(G57),FALSE)*'Input Global'!G$36)</f>
        <v>0</v>
      </c>
      <c r="H57" s="107">
        <f>IF(LEFT($A$52,5)="blank",0,VLOOKUP($B$2,'Input General'!$A$161:$H$165,COLUMN(H57),FALSE)*'Input Global'!H$36)</f>
        <v>0</v>
      </c>
    </row>
    <row r="58" spans="1:8" hidden="1" x14ac:dyDescent="0.3">
      <c r="A58" s="17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9" t="str">
        <f t="shared" si="5"/>
        <v>Feed-in Tariffs</v>
      </c>
      <c r="C59" s="17" t="s">
        <v>63</v>
      </c>
      <c r="D59" s="107">
        <f>IF(LEFT($A$52,5)="blank",0,'Input General'!#REF!+SUMPRODUCT('Input General'!#REF!,'Input General'!#REF!)*'Input Global'!D$21)</f>
        <v>0</v>
      </c>
      <c r="E59" s="107">
        <f>IF(LEFT($A$52,5)="blank",0,'Input General'!#REF!+SUMPRODUCT('Input General'!#REF!,'Input General'!#REF!)*'Input Global'!E$21)</f>
        <v>0</v>
      </c>
      <c r="F59" s="107">
        <f>IF(LEFT($A$52,5)="blank",0,'Input General'!#REF!+SUMPRODUCT('Input General'!#REF!,'Input General'!#REF!)*'Input Global'!F$21)</f>
        <v>0</v>
      </c>
      <c r="G59" s="107">
        <f>IF(LEFT($A$52,5)="blank",0,'Input General'!#REF!+SUMPRODUCT('Input General'!#REF!,'Input General'!#REF!)*'Input Global'!G$21)</f>
        <v>0</v>
      </c>
      <c r="H59" s="107">
        <f>IF(LEFT($A$52,5)="blank",0,'Input General'!#REF!+SUMPRODUCT('Input General'!#REF!,'Input General'!#REF!)*'Input Global'!H$21)</f>
        <v>0</v>
      </c>
    </row>
    <row r="60" spans="1:8" hidden="1" x14ac:dyDescent="0.3">
      <c r="A60" s="19" t="str">
        <f t="shared" si="5"/>
        <v>Carbon costs</v>
      </c>
      <c r="C60" s="17" t="s">
        <v>63</v>
      </c>
      <c r="D60" s="107">
        <f>IF(LEFT($A$52,5)="blank",0,VLOOKUP($B$2,'Input General'!#REF!,COLUMN(D60),FALSE)*'Input Global'!D$21)</f>
        <v>0</v>
      </c>
      <c r="E60" s="107">
        <f>IF(LEFT($A$52,5)="blank",0,VLOOKUP($B$2,'Input General'!#REF!,COLUMN(E60),FALSE)*'Input Global'!E$21)</f>
        <v>0</v>
      </c>
      <c r="F60" s="107">
        <f>IF(LEFT($A$52,5)="blank",0,VLOOKUP($B$2,'Input General'!#REF!,COLUMN(F60),FALSE)*'Input Global'!F$21)</f>
        <v>0</v>
      </c>
      <c r="G60" s="107">
        <f>IF(LEFT($A$52,5)="blank",0,VLOOKUP($B$2,'Input General'!#REF!,COLUMN(G60),FALSE)*'Input Global'!G$21)</f>
        <v>0</v>
      </c>
      <c r="H60" s="107">
        <f>IF(LEFT($A$52,5)="blank",0,VLOOKUP($B$2,'Input General'!#REF!,COLUMN(H60),FALSE)*'Input Global'!H$21)</f>
        <v>0</v>
      </c>
    </row>
    <row r="61" spans="1:8" hidden="1" x14ac:dyDescent="0.3">
      <c r="A61" s="19" t="str">
        <f t="shared" si="5"/>
        <v>Large Scale Renewable Energy Target</v>
      </c>
      <c r="C61" s="17" t="s">
        <v>63</v>
      </c>
      <c r="D61" s="107">
        <f>IF(LEFT($A$52,5)="blank",0,VLOOKUP($B$2,'Input General'!#REF!,COLUMN(D61),FALSE)*'Input Global'!D21)</f>
        <v>0</v>
      </c>
      <c r="E61" s="107">
        <f>IF(LEFT($A$52,5)="blank",0,VLOOKUP($B$2,'Input General'!#REF!,COLUMN(E61),FALSE)*'Input Global'!E21)</f>
        <v>0</v>
      </c>
      <c r="F61" s="107">
        <f>IF(LEFT($A$52,5)="blank",0,VLOOKUP($B$2,'Input General'!#REF!,COLUMN(F61),FALSE)*'Input Global'!F21)</f>
        <v>0</v>
      </c>
      <c r="G61" s="107">
        <f>IF(LEFT($A$52,5)="blank",0,VLOOKUP($B$2,'Input General'!#REF!,COLUMN(G61),FALSE)*'Input Global'!G21)</f>
        <v>0</v>
      </c>
      <c r="H61" s="107">
        <f>IF(LEFT($A$52,5)="blank",0,VLOOKUP($B$2,'Input General'!#REF!,COLUMN(H61),FALSE)*'Input Global'!H21)</f>
        <v>0</v>
      </c>
    </row>
    <row r="62" spans="1:8" hidden="1" x14ac:dyDescent="0.3">
      <c r="A62" s="19" t="str">
        <f t="shared" si="5"/>
        <v>Small Scale Renewable Energy Scheme</v>
      </c>
      <c r="C62" s="17" t="s">
        <v>63</v>
      </c>
      <c r="D62" s="107">
        <f>IF(LEFT($A$52,5)="blank",0,'Input General'!#REF!*'Input Global'!D$21)</f>
        <v>0</v>
      </c>
      <c r="E62" s="107">
        <f>IF(LEFT($A$52,5)="blank",0,'Input General'!#REF!*'Input Global'!E$21)</f>
        <v>0</v>
      </c>
      <c r="F62" s="107">
        <f>IF(LEFT($A$52,5)="blank",0,'Input General'!#REF!*'Input Global'!F$21)</f>
        <v>0</v>
      </c>
      <c r="G62" s="107">
        <f>IF(LEFT($A$52,5)="blank",0,'Input General'!#REF!*'Input Global'!G$21)</f>
        <v>0</v>
      </c>
      <c r="H62" s="107">
        <f>IF(LEFT($A$52,5)="blank",0,'Input General'!#REF!*'Input Global'!H$21)</f>
        <v>0</v>
      </c>
    </row>
    <row r="63" spans="1:8" hidden="1" x14ac:dyDescent="0.3">
      <c r="A63" s="19" t="str">
        <f t="shared" si="5"/>
        <v>Energy savings</v>
      </c>
      <c r="C63" s="17" t="s">
        <v>63</v>
      </c>
      <c r="D63" s="107">
        <f>IF(LEFT($A$52,5)="blank",0,VLOOKUP($B$2,'Input General'!#REF!,COLUMN(D48),FALSE)*'Input Global'!D$21)</f>
        <v>0</v>
      </c>
      <c r="E63" s="107">
        <f>IF(LEFT($A$52,5)="blank",0,VLOOKUP($B$2,'Input General'!#REF!,COLUMN(E48),FALSE)*'Input Global'!E$21)</f>
        <v>0</v>
      </c>
      <c r="F63" s="107">
        <f>IF(LEFT($A$52,5)="blank",0,VLOOKUP($B$2,'Input General'!#REF!,COLUMN(F48),FALSE)*'Input Global'!F$21)</f>
        <v>0</v>
      </c>
      <c r="G63" s="107">
        <f>IF(LEFT($A$52,5)="blank",0,VLOOKUP($B$2,'Input General'!#REF!,COLUMN(G48),FALSE)*'Input Global'!G$21)</f>
        <v>0</v>
      </c>
      <c r="H63" s="107">
        <f>IF(LEFT($A$52,5)="blank",0,VLOOKUP($B$2,'Input General'!#REF!,COLUMN(H48),FALSE)*'Input Global'!H$21)</f>
        <v>0</v>
      </c>
    </row>
    <row r="64" spans="1:8" hidden="1" x14ac:dyDescent="0.3">
      <c r="A64" s="19" t="str">
        <f t="shared" si="5"/>
        <v>Blank</v>
      </c>
      <c r="C64" s="17" t="s">
        <v>63</v>
      </c>
      <c r="D64" s="107">
        <f>IF(LEFT($A$52,5)="blank",0,VLOOKUP($B$2,'Input General'!#REF!,COLUMN(D64),FALSE)*'Input Global'!D$21)</f>
        <v>0</v>
      </c>
      <c r="E64" s="107">
        <f>IF(LEFT($A$52,5)="blank",0,VLOOKUP($B$2,'Input General'!#REF!,COLUMN(E64),FALSE)*'Input Global'!E$21)</f>
        <v>0</v>
      </c>
      <c r="F64" s="107">
        <f>IF(LEFT($A$52,5)="blank",0,VLOOKUP($B$2,'Input General'!#REF!,COLUMN(F64),FALSE)*'Input Global'!F$21)</f>
        <v>0</v>
      </c>
      <c r="G64" s="107">
        <f>IF(LEFT($A$52,5)="blank",0,VLOOKUP($B$2,'Input General'!#REF!,COLUMN(G64),FALSE)*'Input Global'!G$21)</f>
        <v>0</v>
      </c>
      <c r="H64" s="107">
        <f>IF(LEFT($A$52,5)="blank",0,VLOOKUP($B$2,'Input General'!#REF!,COLUMN(H64),FALSE)*'Input Global'!H$21)</f>
        <v>0</v>
      </c>
    </row>
    <row r="65" spans="1:8" hidden="1" x14ac:dyDescent="0.3">
      <c r="A65" s="20" t="s">
        <v>61</v>
      </c>
      <c r="B65" s="20"/>
      <c r="C65" s="20" t="s">
        <v>63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18" t="str">
        <f>Dist5</f>
        <v>blank</v>
      </c>
    </row>
    <row r="68" spans="1:8" hidden="1" x14ac:dyDescent="0.3">
      <c r="A68" s="17" t="str">
        <f>A53</f>
        <v>Wholesale</v>
      </c>
      <c r="C68" s="17" t="s">
        <v>63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s="17" t="str">
        <f t="shared" ref="A69:A79" si="7">A54</f>
        <v>Transmission</v>
      </c>
      <c r="C69" s="17" t="s">
        <v>63</v>
      </c>
      <c r="D69" s="107">
        <f>IF(LEFT($A$67,5)="blank",0,'Input General'!#REF!+(SUMPRODUCT('Input General'!#REF!,'Input General'!#REF!)*'Input Global'!D$22))</f>
        <v>0</v>
      </c>
      <c r="E69" s="107">
        <f>IF(LEFT($A$67,5)="blank",0,'Input General'!#REF!+(SUMPRODUCT('Input General'!#REF!,'Input General'!#REF!)*'Input Global'!E$22))</f>
        <v>0</v>
      </c>
      <c r="F69" s="107">
        <f>IF(LEFT($A$67,5)="blank",0,'Input General'!#REF!+(SUMPRODUCT('Input General'!#REF!,'Input General'!#REF!)*'Input Global'!F$22))</f>
        <v>0</v>
      </c>
      <c r="G69" s="107">
        <f>IF(LEFT($A$67,5)="blank",0,'Input General'!#REF!+(SUMPRODUCT('Input General'!#REF!,'Input General'!#REF!)*'Input Global'!G$22))</f>
        <v>0</v>
      </c>
      <c r="H69" s="107">
        <f>IF(LEFT($A$67,5)="blank",0,'Input General'!#REF!+(SUMPRODUCT('Input General'!#REF!,'Input General'!#REF!)*'Input Global'!H$22))</f>
        <v>0</v>
      </c>
    </row>
    <row r="70" spans="1:8" hidden="1" x14ac:dyDescent="0.3">
      <c r="A70" s="17" t="str">
        <f t="shared" si="7"/>
        <v>Distribution</v>
      </c>
      <c r="C70" s="17" t="s">
        <v>63</v>
      </c>
      <c r="D70" s="107">
        <f>IF(LEFT($A$67,5)="blank",0,'Input General'!#REF!+SUMPRODUCT('Input General'!#REF!,'Input General'!#REF!)*'Input Global'!D$22+'Input General'!#REF!)</f>
        <v>0</v>
      </c>
      <c r="E70" s="107">
        <f>IF(LEFT($A$67,5)="blank",0,'Input General'!#REF!+SUMPRODUCT('Input General'!#REF!,'Input General'!#REF!)*'Input Global'!E$22+'Input General'!#REF!)</f>
        <v>0</v>
      </c>
      <c r="F70" s="107">
        <f>IF(LEFT($A$67,5)="blank",0,'Input General'!#REF!+SUMPRODUCT('Input General'!#REF!,'Input General'!#REF!)*'Input Global'!F$22+'Input General'!#REF!)</f>
        <v>0</v>
      </c>
      <c r="G70" s="107">
        <f>IF(LEFT($A$67,5)="blank",0,'Input General'!#REF!+SUMPRODUCT('Input General'!#REF!,'Input General'!#REF!)*'Input Global'!G$22+'Input General'!#REF!)</f>
        <v>0</v>
      </c>
      <c r="H70" s="107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s="17" t="str">
        <f t="shared" si="7"/>
        <v>Retail</v>
      </c>
      <c r="C71" s="17" t="s">
        <v>63</v>
      </c>
      <c r="D71" s="107">
        <f>IF(LEFT($A$67,5)="blank",0,'Input General'!#REF!*'Input Global'!D$22)</f>
        <v>0</v>
      </c>
      <c r="E71" s="107">
        <f>IF(LEFT($A$67,5)="blank",0,'Input General'!#REF!*'Input Global'!E$22)</f>
        <v>0</v>
      </c>
      <c r="F71" s="107">
        <f>IF(LEFT($A$67,5)="blank",0,'Input General'!#REF!*'Input Global'!F$22)</f>
        <v>0</v>
      </c>
      <c r="G71" s="107">
        <f>IF(LEFT($A$67,5)="blank",0,'Input General'!#REF!*'Input Global'!G$22)</f>
        <v>0</v>
      </c>
      <c r="H71" s="107">
        <f>IF(LEFT($A$67,5)="blank",0,'Input General'!#REF!*'Input Global'!H$22)</f>
        <v>0</v>
      </c>
    </row>
    <row r="72" spans="1:8" hidden="1" x14ac:dyDescent="0.3">
      <c r="A72" s="17" t="str">
        <f t="shared" si="7"/>
        <v>Retail and Residual</v>
      </c>
      <c r="C72" s="17" t="s">
        <v>63</v>
      </c>
      <c r="D72" s="107">
        <f>IF(LEFT($A$67,5)="blank",0,VLOOKUP($B$2,'Input General'!$A$167:$H$171,COLUMN(D72),FALSE)*'Input Global'!D$37)</f>
        <v>0</v>
      </c>
      <c r="E72" s="107">
        <f>IF(LEFT($A$67,5)="blank",0,VLOOKUP($B$2,'Input General'!$A$167:$H$171,COLUMN(E72),FALSE)*'Input Global'!E$37)</f>
        <v>0</v>
      </c>
      <c r="F72" s="107">
        <f>IF(LEFT($A$67,5)="blank",0,VLOOKUP($B$2,'Input General'!$A$167:$H$171,COLUMN(F72),FALSE)*'Input Global'!F$37)</f>
        <v>0</v>
      </c>
      <c r="G72" s="107">
        <f>IF(LEFT($A$67,5)="blank",0,VLOOKUP($B$2,'Input General'!$A$167:$H$171,COLUMN(G72),FALSE)*'Input Global'!G$37)</f>
        <v>0</v>
      </c>
      <c r="H72" s="107">
        <f>IF(LEFT($A$67,5)="blank",0,VLOOKUP($B$2,'Input General'!$A$167:$H$171,COLUMN(H72),FALSE)*'Input Global'!H$37)</f>
        <v>0</v>
      </c>
    </row>
    <row r="73" spans="1:8" hidden="1" x14ac:dyDescent="0.3">
      <c r="A73" s="17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9" t="str">
        <f t="shared" si="7"/>
        <v>Feed-in Tariffs</v>
      </c>
      <c r="C74" s="17" t="s">
        <v>63</v>
      </c>
      <c r="D74" s="107">
        <f>IF(LEFT($A$67,5)="blank",0,'Input General'!#REF!+SUMPRODUCT('Input General'!#REF!,'Input General'!#REF!)*'Input Global'!D$22)</f>
        <v>0</v>
      </c>
      <c r="E74" s="107">
        <f>IF(LEFT($A$67,5)="blank",0,'Input General'!#REF!+SUMPRODUCT('Input General'!#REF!,'Input General'!#REF!)*'Input Global'!E$22)</f>
        <v>0</v>
      </c>
      <c r="F74" s="107">
        <f>IF(LEFT($A$67,5)="blank",0,'Input General'!#REF!+SUMPRODUCT('Input General'!#REF!,'Input General'!#REF!)*'Input Global'!F$22)</f>
        <v>0</v>
      </c>
      <c r="G74" s="107">
        <f>IF(LEFT($A$67,5)="blank",0,'Input General'!#REF!+SUMPRODUCT('Input General'!#REF!,'Input General'!#REF!)*'Input Global'!G$22)</f>
        <v>0</v>
      </c>
      <c r="H74" s="107">
        <f>IF(LEFT($A$67,5)="blank",0,'Input General'!#REF!+SUMPRODUCT('Input General'!#REF!,'Input General'!#REF!)*'Input Global'!H$22)</f>
        <v>0</v>
      </c>
    </row>
    <row r="75" spans="1:8" hidden="1" x14ac:dyDescent="0.3">
      <c r="A75" s="19" t="str">
        <f t="shared" si="7"/>
        <v>Carbon costs</v>
      </c>
      <c r="C75" s="17" t="s">
        <v>63</v>
      </c>
      <c r="D75" s="107">
        <f>IF(LEFT($A$67,5)="blank",0,VLOOKUP($B$2,'Input General'!#REF!,COLUMN(D75),FALSE)*'Input Global'!D$22)</f>
        <v>0</v>
      </c>
      <c r="E75" s="107">
        <f>IF(LEFT($A$67,5)="blank",0,VLOOKUP($B$2,'Input General'!#REF!,COLUMN(E75),FALSE)*'Input Global'!E$22)</f>
        <v>0</v>
      </c>
      <c r="F75" s="107">
        <f>IF(LEFT($A$67,5)="blank",0,VLOOKUP($B$2,'Input General'!#REF!,COLUMN(F75),FALSE)*'Input Global'!F$22)</f>
        <v>0</v>
      </c>
      <c r="G75" s="107">
        <f>IF(LEFT($A$67,5)="blank",0,VLOOKUP($B$2,'Input General'!#REF!,COLUMN(G75),FALSE)*'Input Global'!G$22)</f>
        <v>0</v>
      </c>
      <c r="H75" s="107">
        <f>IF(LEFT($A$67,5)="blank",0,VLOOKUP($B$2,'Input General'!#REF!,COLUMN(H75),FALSE)*'Input Global'!H$22)</f>
        <v>0</v>
      </c>
    </row>
    <row r="76" spans="1:8" hidden="1" x14ac:dyDescent="0.3">
      <c r="A76" s="19" t="str">
        <f t="shared" si="7"/>
        <v>Large Scale Renewable Energy Target</v>
      </c>
      <c r="C76" s="17" t="s">
        <v>63</v>
      </c>
      <c r="D76" s="107">
        <f>IF(LEFT($A$67,5)="blank",0,VLOOKUP($B$2,'Input General'!#REF!,COLUMN(D76),FALSE)*'Input Global'!D22)</f>
        <v>0</v>
      </c>
      <c r="E76" s="107">
        <f>IF(LEFT($A$67,5)="blank",0,VLOOKUP($B$2,'Input General'!#REF!,COLUMN(E76),FALSE)*'Input Global'!E22)</f>
        <v>0</v>
      </c>
      <c r="F76" s="107">
        <f>IF(LEFT($A$67,5)="blank",0,VLOOKUP($B$2,'Input General'!#REF!,COLUMN(F76),FALSE)*'Input Global'!F22)</f>
        <v>0</v>
      </c>
      <c r="G76" s="107">
        <f>IF(LEFT($A$67,5)="blank",0,VLOOKUP($B$2,'Input General'!#REF!,COLUMN(G76),FALSE)*'Input Global'!G22)</f>
        <v>0</v>
      </c>
      <c r="H76" s="107">
        <f>IF(LEFT($A$67,5)="blank",0,VLOOKUP($B$2,'Input General'!#REF!,COLUMN(H76),FALSE)*'Input Global'!H22)</f>
        <v>0</v>
      </c>
    </row>
    <row r="77" spans="1:8" hidden="1" x14ac:dyDescent="0.3">
      <c r="A77" s="19" t="str">
        <f t="shared" si="7"/>
        <v>Small Scale Renewable Energy Scheme</v>
      </c>
      <c r="C77" s="17" t="s">
        <v>63</v>
      </c>
      <c r="D77" s="107">
        <f>IF(LEFT($A$67,5)="blank",0,'Input General'!#REF!*'Input Global'!D$22)</f>
        <v>0</v>
      </c>
      <c r="E77" s="107">
        <f>IF(LEFT($A$67,5)="blank",0,'Input General'!#REF!*'Input Global'!E$22)</f>
        <v>0</v>
      </c>
      <c r="F77" s="107">
        <f>IF(LEFT($A$67,5)="blank",0,'Input General'!#REF!*'Input Global'!F$22)</f>
        <v>0</v>
      </c>
      <c r="G77" s="107">
        <f>IF(LEFT($A$67,5)="blank",0,'Input General'!#REF!*'Input Global'!G$22)</f>
        <v>0</v>
      </c>
      <c r="H77" s="107">
        <f>IF(LEFT($A$67,5)="blank",0,'Input General'!#REF!*'Input Global'!H$22)</f>
        <v>0</v>
      </c>
    </row>
    <row r="78" spans="1:8" hidden="1" x14ac:dyDescent="0.3">
      <c r="A78" s="19" t="str">
        <f t="shared" si="7"/>
        <v>Energy savings</v>
      </c>
      <c r="C78" s="17" t="s">
        <v>63</v>
      </c>
      <c r="D78" s="107">
        <f>IF(LEFT($A$67,5)="blank",0,VLOOKUP($B$2,'Input General'!#REF!,COLUMN(D78),FALSE)*'Input Global'!D$22)</f>
        <v>0</v>
      </c>
      <c r="E78" s="107">
        <f>IF(LEFT($A$67,5)="blank",0,VLOOKUP($B$2,'Input General'!#REF!,COLUMN(E78),FALSE)*'Input Global'!E$22)</f>
        <v>0</v>
      </c>
      <c r="F78" s="107">
        <f>IF(LEFT($A$67,5)="blank",0,VLOOKUP($B$2,'Input General'!#REF!,COLUMN(F78),FALSE)*'Input Global'!F$22)</f>
        <v>0</v>
      </c>
      <c r="G78" s="107">
        <f>IF(LEFT($A$67,5)="blank",0,VLOOKUP($B$2,'Input General'!#REF!,COLUMN(G78),FALSE)*'Input Global'!G$22)</f>
        <v>0</v>
      </c>
      <c r="H78" s="107">
        <f>IF(LEFT($A$67,5)="blank",0,VLOOKUP($B$2,'Input General'!#REF!,COLUMN(H78),FALSE)*'Input Global'!H$22)</f>
        <v>0</v>
      </c>
    </row>
    <row r="79" spans="1:8" hidden="1" x14ac:dyDescent="0.3">
      <c r="A79" s="19" t="str">
        <f t="shared" si="7"/>
        <v>Blank</v>
      </c>
      <c r="C79" s="17" t="s">
        <v>63</v>
      </c>
      <c r="D79" s="107">
        <f>IF(LEFT($A$67,5)="blank",0,VLOOKUP($B$2,'Input General'!#REF!,COLUMN(D79),FALSE)*'Input Global'!D$22)</f>
        <v>0</v>
      </c>
      <c r="E79" s="107">
        <f>IF(LEFT($A$67,5)="blank",0,VLOOKUP($B$2,'Input General'!#REF!,COLUMN(E79),FALSE)*'Input Global'!E$22)</f>
        <v>0</v>
      </c>
      <c r="F79" s="107">
        <f>IF(LEFT($A$67,5)="blank",0,VLOOKUP($B$2,'Input General'!#REF!,COLUMN(F79),FALSE)*'Input Global'!F$22)</f>
        <v>0</v>
      </c>
      <c r="G79" s="107">
        <f>IF(LEFT($A$67,5)="blank",0,VLOOKUP($B$2,'Input General'!#REF!,COLUMN(G79),FALSE)*'Input Global'!G$22)</f>
        <v>0</v>
      </c>
      <c r="H79" s="107">
        <f>IF(LEFT($A$67,5)="blank",0,VLOOKUP($B$2,'Input General'!#REF!,COLUMN(H79),FALSE)*'Input Global'!H$22)</f>
        <v>0</v>
      </c>
    </row>
    <row r="80" spans="1:8" hidden="1" x14ac:dyDescent="0.3">
      <c r="A80" s="20" t="s">
        <v>61</v>
      </c>
      <c r="B80" s="20"/>
      <c r="C80" s="20" t="s">
        <v>63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6" t="s">
        <v>62</v>
      </c>
      <c r="B82" s="16" t="s">
        <v>48</v>
      </c>
      <c r="D82" s="103"/>
      <c r="E82" s="103"/>
      <c r="F82" s="103"/>
      <c r="G82" s="103"/>
      <c r="H82" s="103"/>
    </row>
    <row r="84" spans="1:8" x14ac:dyDescent="0.3">
      <c r="A84" s="18" t="str">
        <f>Dist1</f>
        <v xml:space="preserve">Ausgrid </v>
      </c>
    </row>
    <row r="85" spans="1:8" x14ac:dyDescent="0.3">
      <c r="A85" s="17" t="str">
        <f t="shared" ref="A85:A96" si="9">A68</f>
        <v>Wholesale</v>
      </c>
      <c r="C85" s="17" t="s">
        <v>17</v>
      </c>
      <c r="D85" s="107">
        <f ca="1">IF(LEFT($A$84,5)="blank",0,D8/'Input Global'!D$18)</f>
        <v>7.44</v>
      </c>
      <c r="E85" s="107">
        <f ca="1">IF(LEFT($A$84,5)="blank",0,E8/'Input Global'!E$18)</f>
        <v>7.3639999999999999</v>
      </c>
      <c r="F85" s="107">
        <f ca="1">IF(LEFT($A$84,5)="blank",0,F8/'Input Global'!F$18)</f>
        <v>7.4432486500000001</v>
      </c>
      <c r="G85" s="107">
        <f ca="1">IF(LEFT($A$84,5)="blank",0,G8/'Input Global'!G$18)</f>
        <v>6.9699169661928035</v>
      </c>
      <c r="H85" s="107">
        <f ca="1">IF(LEFT($A$84,5)="blank",0,H8/'Input Global'!H$18)</f>
        <v>7.0968483462287297</v>
      </c>
    </row>
    <row r="86" spans="1:8" x14ac:dyDescent="0.3">
      <c r="A86" s="17" t="str">
        <f t="shared" si="9"/>
        <v>Transmission</v>
      </c>
      <c r="C86" s="17" t="s">
        <v>17</v>
      </c>
      <c r="D86" s="107">
        <f>IF(LEFT($A$84,5)="blank",0,D9/'Input Global'!D$18)</f>
        <v>1.9490566651938903</v>
      </c>
      <c r="E86" s="107">
        <f>IF(LEFT($A$84,5)="blank",0,E9/'Input Global'!E$18)</f>
        <v>2.4407873031375846</v>
      </c>
      <c r="F86" s="107">
        <f>IF(LEFT($A$84,5)="blank",0,F9/'Input Global'!F$18)</f>
        <v>4.9359206103405233</v>
      </c>
      <c r="G86" s="107">
        <f>IF(LEFT($A$84,5)="blank",0,G9/'Input Global'!G$18)</f>
        <v>5.2797889332955936</v>
      </c>
      <c r="H86" s="107">
        <f>IF(LEFT($A$84,5)="blank",0,H9/'Input Global'!H$18)</f>
        <v>5.6476133594513964</v>
      </c>
    </row>
    <row r="87" spans="1:8" x14ac:dyDescent="0.3">
      <c r="A87" s="17" t="str">
        <f t="shared" si="9"/>
        <v>Distribution</v>
      </c>
      <c r="C87" s="17" t="s">
        <v>17</v>
      </c>
      <c r="D87" s="107">
        <f>IF(LEFT($A$84,5)="blank",0,D10/'Input Global'!D$18)</f>
        <v>8.898119164043699</v>
      </c>
      <c r="E87" s="107">
        <f>IF(LEFT($A$84,5)="blank",0,E10/'Input Global'!E$18)</f>
        <v>10.624721457519319</v>
      </c>
      <c r="F87" s="107">
        <f>IF(LEFT($A$84,5)="blank",0,F10/'Input Global'!F$18)</f>
        <v>10.573975353139822</v>
      </c>
      <c r="G87" s="107">
        <f>IF(LEFT($A$84,5)="blank",0,G10/'Input Global'!G$18)</f>
        <v>10.669627526073251</v>
      </c>
      <c r="H87" s="107">
        <f>IF(LEFT($A$84,5)="blank",0,H10/'Input Global'!H$18)</f>
        <v>10.948474345488579</v>
      </c>
    </row>
    <row r="88" spans="1:8" x14ac:dyDescent="0.3">
      <c r="A88" s="17" t="str">
        <f t="shared" si="9"/>
        <v>Retail</v>
      </c>
      <c r="C88" s="17" t="s">
        <v>17</v>
      </c>
      <c r="D88" s="107">
        <f>IF(LEFT($A$84,5)="blank",0,D11/'Input Global'!D$18)</f>
        <v>1.41</v>
      </c>
      <c r="E88" s="107">
        <f>IF(LEFT($A$84,5)="blank",0,E11/'Input Global'!E$18)</f>
        <v>1.41</v>
      </c>
      <c r="F88" s="107">
        <f>IF(LEFT($A$84,5)="blank",0,F11/'Input Global'!F$18)</f>
        <v>1.476</v>
      </c>
      <c r="G88" s="107">
        <f>IF(LEFT($A$84,5)="blank",0,G11/'Input Global'!G$18)</f>
        <v>1.5128999999999999</v>
      </c>
      <c r="H88" s="107">
        <f>IF(LEFT($A$84,5)="blank",0,H11/'Input Global'!H$18)</f>
        <v>1.5507224999999996</v>
      </c>
    </row>
    <row r="89" spans="1:8" x14ac:dyDescent="0.3">
      <c r="A89" s="17" t="str">
        <f t="shared" si="9"/>
        <v>Retail and Residual</v>
      </c>
      <c r="C89" s="17" t="s">
        <v>17</v>
      </c>
      <c r="D89" s="107">
        <f ca="1">IF(LEFT($A$84,5)="blank",0,D12/'Input Global'!D$18)</f>
        <v>1.0870294947788297</v>
      </c>
      <c r="E89" s="107">
        <f ca="1">IF(LEFT($A$84,5)="blank",0,E12/'Input Global'!E$18)</f>
        <v>1.2443333376906691</v>
      </c>
      <c r="F89" s="107">
        <f ca="1">IF(LEFT($A$84,5)="blank",0,F12/'Input Global'!F$18)</f>
        <v>1.5132831273790388</v>
      </c>
      <c r="G89" s="107">
        <f ca="1">IF(LEFT($A$84,5)="blank",0,G12/'Input Global'!G$18)</f>
        <v>1.5005885546995934</v>
      </c>
      <c r="H89" s="107">
        <f ca="1">IF(LEFT($A$84,5)="blank",0,H12/'Input Global'!H$18)</f>
        <v>1.5501587061423581</v>
      </c>
    </row>
    <row r="90" spans="1:8" x14ac:dyDescent="0.3">
      <c r="A90" s="17" t="str">
        <f t="shared" si="9"/>
        <v>Green Schemes</v>
      </c>
      <c r="C90" s="17" t="s">
        <v>17</v>
      </c>
      <c r="D90" s="103"/>
      <c r="E90" s="103"/>
      <c r="F90" s="103"/>
      <c r="G90" s="103"/>
      <c r="H90" s="103"/>
    </row>
    <row r="91" spans="1:8" x14ac:dyDescent="0.3">
      <c r="A91" s="19" t="str">
        <f t="shared" si="9"/>
        <v>Feed-in Tariffs</v>
      </c>
      <c r="C91" s="17" t="s">
        <v>17</v>
      </c>
      <c r="D91" s="107">
        <f>IF(LEFT($A$84,5)="blank",0,D14/'Input Global'!D$18)</f>
        <v>0.17699999999999999</v>
      </c>
      <c r="E91" s="107">
        <f>IF(LEFT($A$84,5)="blank",0,E14/'Input Global'!E$18)</f>
        <v>0.19817619657770696</v>
      </c>
      <c r="F91" s="107">
        <f>IF(LEFT($A$84,5)="blank",0,F14/'Input Global'!F$18)</f>
        <v>0.39229200465000003</v>
      </c>
      <c r="G91" s="107">
        <f>IF(LEFT($A$84,5)="blank",0,G14/'Input Global'!G$18)</f>
        <v>0.48424525053995998</v>
      </c>
      <c r="H91" s="107">
        <f>IF(LEFT($A$84,5)="blank",0,H14/'Input Global'!H$18)</f>
        <v>0.48424525053995998</v>
      </c>
    </row>
    <row r="92" spans="1:8" x14ac:dyDescent="0.3">
      <c r="A92" s="19" t="str">
        <f t="shared" si="9"/>
        <v>Carbon costs</v>
      </c>
      <c r="C92" s="17" t="s">
        <v>17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2.0428249999999997</v>
      </c>
      <c r="G92" s="107">
        <f ca="1">IF(LEFT($A$84,5)="blank",0,G15/'Input Global'!G$18)</f>
        <v>2.1433752084577535</v>
      </c>
      <c r="H92" s="107">
        <f ca="1">IF(LEFT($A$84,5)="blank",0,H15/'Input Global'!H$18)</f>
        <v>2.2529781822229795</v>
      </c>
    </row>
    <row r="93" spans="1:8" x14ac:dyDescent="0.3">
      <c r="A93" s="19" t="str">
        <f t="shared" si="9"/>
        <v>Large Scale Renewable Energy Target</v>
      </c>
      <c r="C93" s="17" t="s">
        <v>17</v>
      </c>
      <c r="D93" s="107">
        <f ca="1">IF(LEFT($A$84,5)="blank",0,D16/'Input Global'!D$18)</f>
        <v>0.184</v>
      </c>
      <c r="E93" s="107">
        <f ca="1">IF(LEFT($A$84,5)="blank",0,E16/'Input Global'!E$18)</f>
        <v>0.27367499999999995</v>
      </c>
      <c r="F93" s="107">
        <f ca="1">IF(LEFT($A$84,5)="blank",0,F16/'Input Global'!F$18)</f>
        <v>0.45407499999999995</v>
      </c>
      <c r="G93" s="107">
        <f ca="1">IF(LEFT($A$84,5)="blank",0,G16/'Input Global'!G$18)</f>
        <v>0.48656703551322888</v>
      </c>
      <c r="H93" s="107">
        <f ca="1">IF(LEFT($A$84,5)="blank",0,H16/'Input Global'!H$18)</f>
        <v>0.51525335563716224</v>
      </c>
    </row>
    <row r="94" spans="1:8" x14ac:dyDescent="0.3">
      <c r="A94" s="19" t="str">
        <f t="shared" si="9"/>
        <v>Small Scale Renewable Energy Scheme</v>
      </c>
      <c r="C94" s="17" t="s">
        <v>17</v>
      </c>
      <c r="D94" s="107">
        <f ca="1">IF(LEFT($A$84,5)="blank",0,D17/'Input Global'!D$18)</f>
        <v>0</v>
      </c>
      <c r="E94" s="107">
        <f ca="1">IF(LEFT($A$84,5)="blank",0,E17/'Input Global'!E$18)</f>
        <v>0.62012499999999982</v>
      </c>
      <c r="F94" s="107">
        <f ca="1">IF(LEFT($A$84,5)="blank",0,F17/'Input Global'!F$18)</f>
        <v>0.55042499999999994</v>
      </c>
      <c r="G94" s="107">
        <f ca="1">IF(LEFT($A$84,5)="blank",0,G17/'Input Global'!G$18)</f>
        <v>0.2422560188087774</v>
      </c>
      <c r="H94" s="107">
        <f ca="1">IF(LEFT($A$84,5)="blank",0,H17/'Input Global'!H$18)</f>
        <v>0.21050736677115994</v>
      </c>
    </row>
    <row r="95" spans="1:8" x14ac:dyDescent="0.3">
      <c r="A95" s="19" t="str">
        <f t="shared" si="9"/>
        <v>Energy savings</v>
      </c>
      <c r="C95" s="17" t="s">
        <v>17</v>
      </c>
      <c r="D95" s="107">
        <f ca="1">IF(LEFT($A$84,5)="blank",0,D18/'Input Global'!D$18)</f>
        <v>7.1999999999999995E-2</v>
      </c>
      <c r="E95" s="107">
        <f ca="1">IF(LEFT($A$84,5)="blank",0,E18/'Input Global'!E$18)</f>
        <v>0.111725</v>
      </c>
      <c r="F95" s="107">
        <f ca="1">IF(LEFT($A$84,5)="blank",0,F18/'Input Global'!F$18)</f>
        <v>0.155</v>
      </c>
      <c r="G95" s="107">
        <f ca="1">IF(LEFT($A$84,5)="blank",0,G18/'Input Global'!G$18)</f>
        <v>0</v>
      </c>
      <c r="H95" s="107">
        <f ca="1">IF(LEFT($A$84,5)="blank",0,H18/'Input Global'!H$18)</f>
        <v>0</v>
      </c>
    </row>
    <row r="96" spans="1:8" x14ac:dyDescent="0.3">
      <c r="A96" s="19" t="str">
        <f t="shared" si="9"/>
        <v>Blank</v>
      </c>
      <c r="C96" s="17" t="s">
        <v>17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20" t="s">
        <v>61</v>
      </c>
      <c r="B97" s="20"/>
      <c r="C97" s="20" t="s">
        <v>17</v>
      </c>
      <c r="D97" s="107">
        <f ca="1">SUM(D85:D96)</f>
        <v>21.217205324016419</v>
      </c>
      <c r="E97" s="107">
        <f t="shared" ref="E97:H97" ca="1" si="10">SUM(E85:E96)</f>
        <v>24.287543294925278</v>
      </c>
      <c r="F97" s="107">
        <f t="shared" ca="1" si="10"/>
        <v>29.537044745509387</v>
      </c>
      <c r="G97" s="107">
        <f t="shared" ca="1" si="10"/>
        <v>29.28926549358096</v>
      </c>
      <c r="H97" s="107">
        <f t="shared" ca="1" si="10"/>
        <v>30.256801412482329</v>
      </c>
    </row>
    <row r="99" spans="1:8" x14ac:dyDescent="0.3">
      <c r="A99" s="18" t="str">
        <f>Dist2</f>
        <v>Essential</v>
      </c>
    </row>
    <row r="100" spans="1:8" x14ac:dyDescent="0.3">
      <c r="A100" s="17" t="str">
        <f>A85</f>
        <v>Wholesale</v>
      </c>
      <c r="C100" s="17" t="s">
        <v>17</v>
      </c>
      <c r="D100" s="107">
        <f ca="1">IF(LEFT($A$99,5)="blank",0,D23/'Input Global'!D$19)</f>
        <v>7.2590000000000003</v>
      </c>
      <c r="E100" s="107">
        <f ca="1">IF(LEFT($A$99,5)="blank",0,E23/'Input Global'!E$19)</f>
        <v>7.1310000000000002</v>
      </c>
      <c r="F100" s="107">
        <f ca="1">IF(LEFT($A$99,5)="blank",0,F23/'Input Global'!F$19)</f>
        <v>7.4586236500000007</v>
      </c>
      <c r="G100" s="107">
        <f ca="1">IF(LEFT($A$99,5)="blank",0,G23/'Input Global'!G$19)</f>
        <v>6.6335144346993271</v>
      </c>
      <c r="H100" s="107">
        <f ca="1">IF(LEFT($A$99,5)="blank",0,H23/'Input Global'!H$19)</f>
        <v>6.7548081848323287</v>
      </c>
    </row>
    <row r="101" spans="1:8" x14ac:dyDescent="0.3">
      <c r="A101" s="17" t="str">
        <f t="shared" ref="A101:A111" si="11">A86</f>
        <v>Transmission</v>
      </c>
      <c r="C101" s="17" t="s">
        <v>17</v>
      </c>
      <c r="D101" s="107">
        <f>IF(LEFT($A$99,5)="blank",0,D24/'Input Global'!D$19)</f>
        <v>2.1191030893293696</v>
      </c>
      <c r="E101" s="107">
        <f>IF(LEFT($A$99,5)="blank",0,E24/'Input Global'!E$19)</f>
        <v>2.5446</v>
      </c>
      <c r="F101" s="107">
        <f>IF(LEFT($A$99,5)="blank",0,F24/'Input Global'!F$19)</f>
        <v>2.7676417132395836</v>
      </c>
      <c r="G101" s="107">
        <f>IF(LEFT($A$99,5)="blank",0,G24/'Input Global'!G$19)</f>
        <v>2.9604536301246367</v>
      </c>
      <c r="H101" s="107">
        <f>IF(LEFT($A$99,5)="blank",0,H24/'Input Global'!H$19)</f>
        <v>3.1666980787984134</v>
      </c>
    </row>
    <row r="102" spans="1:8" x14ac:dyDescent="0.3">
      <c r="A102" s="17" t="str">
        <f t="shared" si="11"/>
        <v>Distribution</v>
      </c>
      <c r="C102" s="17" t="s">
        <v>17</v>
      </c>
      <c r="D102" s="107">
        <f>IF(LEFT($A$99,5)="blank",0,D25/'Input Global'!D$19)</f>
        <v>12.817635714285757</v>
      </c>
      <c r="E102" s="107">
        <f>IF(LEFT($A$99,5)="blank",0,E25/'Input Global'!E$19)</f>
        <v>15.660097142857142</v>
      </c>
      <c r="F102" s="107">
        <f>IF(LEFT($A$99,5)="blank",0,F25/'Input Global'!F$19)</f>
        <v>18.760154107428573</v>
      </c>
      <c r="G102" s="107">
        <f>IF(LEFT($A$99,5)="blank",0,G25/'Input Global'!G$19)</f>
        <v>18.381439508665245</v>
      </c>
      <c r="H102" s="107">
        <f>IF(LEFT($A$99,5)="blank",0,H25/'Input Global'!H$19)</f>
        <v>18.850897529191698</v>
      </c>
    </row>
    <row r="103" spans="1:8" x14ac:dyDescent="0.3">
      <c r="A103" s="17" t="str">
        <f t="shared" si="11"/>
        <v>Retail</v>
      </c>
      <c r="C103" s="17" t="s">
        <v>17</v>
      </c>
      <c r="D103" s="107">
        <f>IF(LEFT($A$99,5)="blank",0,D26/'Input Global'!D$19)</f>
        <v>1.32</v>
      </c>
      <c r="E103" s="107">
        <f>IF(LEFT($A$99,5)="blank",0,E26/'Input Global'!E$19)</f>
        <v>1.43</v>
      </c>
      <c r="F103" s="107">
        <f>IF(LEFT($A$99,5)="blank",0,F26/'Input Global'!F$19)</f>
        <v>1.4964999999999997</v>
      </c>
      <c r="G103" s="107">
        <f>IF(LEFT($A$99,5)="blank",0,G26/'Input Global'!G$19)</f>
        <v>1.5339124999999998</v>
      </c>
      <c r="H103" s="107">
        <f>IF(LEFT($A$99,5)="blank",0,H26/'Input Global'!H$19)</f>
        <v>1.5722603124999996</v>
      </c>
    </row>
    <row r="104" spans="1:8" x14ac:dyDescent="0.3">
      <c r="A104" s="17" t="str">
        <f t="shared" si="11"/>
        <v>Retail and Residual</v>
      </c>
      <c r="C104" s="17" t="s">
        <v>17</v>
      </c>
      <c r="D104" s="107">
        <f ca="1">IF(LEFT($A$99,5)="blank",0,D27/'Input Global'!D$19)</f>
        <v>1.2927419127727335</v>
      </c>
      <c r="E104" s="107">
        <f ca="1">IF(LEFT($A$99,5)="blank",0,E27/'Input Global'!E$19)</f>
        <v>1.5097763957142858</v>
      </c>
      <c r="F104" s="107">
        <f ca="1">IF(LEFT($A$99,5)="blank",0,F27/'Input Global'!F$19)</f>
        <v>1.8372386012453259</v>
      </c>
      <c r="G104" s="107">
        <f ca="1">IF(LEFT($A$99,5)="blank",0,G27/'Input Global'!G$19)</f>
        <v>1.7701908299734079</v>
      </c>
      <c r="H104" s="107">
        <f ca="1">IF(LEFT($A$99,5)="blank",0,H27/'Input Global'!H$19)</f>
        <v>1.8271199231337547</v>
      </c>
    </row>
    <row r="105" spans="1:8" x14ac:dyDescent="0.3">
      <c r="A105" s="17" t="str">
        <f t="shared" si="11"/>
        <v>Green Schemes</v>
      </c>
      <c r="C105" s="17" t="s">
        <v>17</v>
      </c>
      <c r="D105" s="103"/>
      <c r="E105" s="103"/>
      <c r="F105" s="103"/>
      <c r="G105" s="103"/>
      <c r="H105" s="103"/>
    </row>
    <row r="106" spans="1:8" x14ac:dyDescent="0.3">
      <c r="A106" s="19" t="str">
        <f t="shared" si="11"/>
        <v>Feed-in Tariffs</v>
      </c>
      <c r="C106" s="17" t="s">
        <v>17</v>
      </c>
      <c r="D106" s="107">
        <f>IF(LEFT($A$99,5)="blank",0,D29/'Input Global'!D$19)</f>
        <v>0.16792624773178752</v>
      </c>
      <c r="E106" s="107">
        <f>IF(LEFT($A$99,5)="blank",0,E29/'Input Global'!E$19)</f>
        <v>0.1794</v>
      </c>
      <c r="F106" s="107">
        <f>IF(LEFT($A$99,5)="blank",0,F29/'Input Global'!F$19)</f>
        <v>0.32151758943047254</v>
      </c>
      <c r="G106" s="107">
        <f>IF(LEFT($A$99,5)="blank",0,G29/'Input Global'!G$19)</f>
        <v>0.39688131239297536</v>
      </c>
      <c r="H106" s="107">
        <f>IF(LEFT($A$99,5)="blank",0,H29/'Input Global'!H$19)</f>
        <v>0.39688131239297536</v>
      </c>
    </row>
    <row r="107" spans="1:8" x14ac:dyDescent="0.3">
      <c r="A107" s="19" t="str">
        <f t="shared" si="11"/>
        <v>Carbon costs</v>
      </c>
      <c r="C107" s="17" t="s">
        <v>17</v>
      </c>
      <c r="D107" s="107">
        <f ca="1">IF(LEFT($A$99,5)="blank",0,D30/'Input Global'!D$19)</f>
        <v>0</v>
      </c>
      <c r="E107" s="107">
        <f ca="1">IF(LEFT($A$99,5)="blank",0,E30/'Input Global'!E$19)</f>
        <v>0</v>
      </c>
      <c r="F107" s="107">
        <f ca="1">IF(LEFT($A$99,5)="blank",0,F30/'Input Global'!F$19)</f>
        <v>2.0335999999999999</v>
      </c>
      <c r="G107" s="107">
        <f ca="1">IF(LEFT($A$99,5)="blank",0,G30/'Input Global'!G$19)</f>
        <v>2.134361795877902</v>
      </c>
      <c r="H107" s="107">
        <f ca="1">IF(LEFT($A$99,5)="blank",0,H30/'Input Global'!H$19)</f>
        <v>2.3576767413870154</v>
      </c>
    </row>
    <row r="108" spans="1:8" x14ac:dyDescent="0.3">
      <c r="A108" s="19" t="str">
        <f t="shared" si="11"/>
        <v>Large Scale Renewable Energy Target</v>
      </c>
      <c r="C108" s="17" t="s">
        <v>17</v>
      </c>
      <c r="D108" s="107">
        <f ca="1">IF(LEFT($A$99,5)="blank",0,D31/'Input Global'!D$19)</f>
        <v>0.184</v>
      </c>
      <c r="E108" s="107">
        <f ca="1">IF(LEFT($A$99,5)="blank",0,E31/'Input Global'!E$19)</f>
        <v>0.27162499999999995</v>
      </c>
      <c r="F108" s="107">
        <f ca="1">IF(LEFT($A$99,5)="blank",0,F31/'Input Global'!F$19)</f>
        <v>0.45509999999999995</v>
      </c>
      <c r="G108" s="107">
        <f ca="1">IF(LEFT($A$99,5)="blank",0,G31/'Input Global'!G$19)</f>
        <v>0.4876653809658546</v>
      </c>
      <c r="H108" s="107">
        <f ca="1">IF(LEFT($A$99,5)="blank",0,H31/'Input Global'!H$19)</f>
        <v>0.51641645576275408</v>
      </c>
    </row>
    <row r="109" spans="1:8" x14ac:dyDescent="0.3">
      <c r="A109" s="19" t="str">
        <f t="shared" si="11"/>
        <v>Small Scale Renewable Energy Scheme</v>
      </c>
      <c r="C109" s="17" t="s">
        <v>17</v>
      </c>
      <c r="D109" s="107">
        <f ca="1">IF(LEFT($A$99,5)="blank",0,D32/'Input Global'!D$19)</f>
        <v>0</v>
      </c>
      <c r="E109" s="107">
        <f ca="1">IF(LEFT($A$99,5)="blank",0,E32/'Input Global'!E$19)</f>
        <v>0.63037500000000002</v>
      </c>
      <c r="F109" s="107">
        <f ca="1">IF(LEFT($A$99,5)="blank",0,F32/'Input Global'!F$19)</f>
        <v>0.57502500000000001</v>
      </c>
      <c r="G109" s="107">
        <f ca="1">IF(LEFT($A$99,5)="blank",0,G32/'Input Global'!G$19)</f>
        <v>0.25308310344827584</v>
      </c>
      <c r="H109" s="107">
        <f ca="1">IF(LEFT($A$99,5)="blank",0,H32/'Input Global'!H$19)</f>
        <v>0.21991551724137939</v>
      </c>
    </row>
    <row r="110" spans="1:8" x14ac:dyDescent="0.3">
      <c r="A110" s="19" t="str">
        <f t="shared" si="11"/>
        <v>Energy savings</v>
      </c>
      <c r="C110" s="17" t="s">
        <v>17</v>
      </c>
      <c r="D110" s="107">
        <f ca="1">IF(LEFT($A$99,5)="blank",0,D33/'Input Global'!D$19)</f>
        <v>7.1999999999999995E-2</v>
      </c>
      <c r="E110" s="107">
        <f ca="1">IF(LEFT($A$99,5)="blank",0,E33/'Input Global'!E$19)</f>
        <v>0.111725</v>
      </c>
      <c r="F110" s="107">
        <f ca="1">IF(LEFT($A$99,5)="blank",0,F33/'Input Global'!F$19)</f>
        <v>0.154775</v>
      </c>
      <c r="G110" s="107">
        <f ca="1">IF(LEFT($A$99,5)="blank",0,G33/'Input Global'!G$19)</f>
        <v>0</v>
      </c>
      <c r="H110" s="107">
        <f ca="1">IF(LEFT($A$99,5)="blank",0,H33/'Input Global'!H$19)</f>
        <v>0</v>
      </c>
    </row>
    <row r="111" spans="1:8" x14ac:dyDescent="0.3">
      <c r="A111" s="19" t="str">
        <f t="shared" si="11"/>
        <v>Blank</v>
      </c>
      <c r="C111" s="17" t="s">
        <v>17</v>
      </c>
      <c r="D111" s="107">
        <f ca="1">IF(LEFT($A$99,5)="blank",0,D34/'Input Global'!D$19)</f>
        <v>0</v>
      </c>
      <c r="E111" s="107">
        <f ca="1">IF(LEFT($A$99,5)="blank",0,E34/'Input Global'!E$19)</f>
        <v>0</v>
      </c>
      <c r="F111" s="107">
        <f ca="1">IF(LEFT($A$99,5)="blank",0,F34/'Input Global'!F$19)</f>
        <v>0</v>
      </c>
      <c r="G111" s="107">
        <f ca="1">IF(LEFT($A$99,5)="blank",0,G34/'Input Global'!G$19)</f>
        <v>0</v>
      </c>
      <c r="H111" s="107">
        <f ca="1">IF(LEFT($A$99,5)="blank",0,H34/'Input Global'!H$19)</f>
        <v>0</v>
      </c>
    </row>
    <row r="112" spans="1:8" x14ac:dyDescent="0.3">
      <c r="A112" s="20" t="s">
        <v>61</v>
      </c>
      <c r="B112" s="20"/>
      <c r="C112" s="20" t="s">
        <v>17</v>
      </c>
      <c r="D112" s="107">
        <f ca="1">SUM(D100:D111)</f>
        <v>25.232406964119651</v>
      </c>
      <c r="E112" s="107">
        <f t="shared" ref="E112:H112" ca="1" si="12">SUM(E100:E111)</f>
        <v>29.468598538571431</v>
      </c>
      <c r="F112" s="107">
        <f t="shared" ca="1" si="12"/>
        <v>35.860175661343952</v>
      </c>
      <c r="G112" s="107">
        <f t="shared" ca="1" si="12"/>
        <v>34.551502496147627</v>
      </c>
      <c r="H112" s="107">
        <f t="shared" ca="1" si="12"/>
        <v>35.662674055240323</v>
      </c>
    </row>
    <row r="114" spans="1:8" x14ac:dyDescent="0.3">
      <c r="A114" s="18" t="str">
        <f>Dist3</f>
        <v>Endeavour</v>
      </c>
    </row>
    <row r="115" spans="1:8" x14ac:dyDescent="0.3">
      <c r="A115" s="17" t="str">
        <f>A100</f>
        <v>Wholesale</v>
      </c>
      <c r="C115" s="17" t="s">
        <v>17</v>
      </c>
      <c r="D115" s="107">
        <f ca="1">IF(LEFT($A$114,5)="blank",0,D38/'Input Global'!D$20)</f>
        <v>7.7910000000000004</v>
      </c>
      <c r="E115" s="107">
        <f ca="1">IF(LEFT($A$114,5)="blank",0,E38/'Input Global'!E$20)</f>
        <v>7.8330000000000002</v>
      </c>
      <c r="F115" s="107">
        <f ca="1">IF(LEFT($A$114,5)="blank",0,F38/'Input Global'!F$20)</f>
        <v>7.9835999999999991</v>
      </c>
      <c r="G115" s="107">
        <f ca="1">IF(LEFT($A$114,5)="blank",0,G38/'Input Global'!G$20)</f>
        <v>7.3844164224436932</v>
      </c>
      <c r="H115" s="107">
        <f ca="1">IF(LEFT($A$114,5)="blank",0,H38/'Input Global'!H$20)</f>
        <v>7.5201748697774233</v>
      </c>
    </row>
    <row r="116" spans="1:8" x14ac:dyDescent="0.3">
      <c r="A116" s="17" t="str">
        <f t="shared" ref="A116:A126" si="13">A101</f>
        <v>Transmission</v>
      </c>
      <c r="C116" s="17" t="s">
        <v>17</v>
      </c>
      <c r="D116" s="107">
        <f>IF(LEFT($A$114,5)="blank",0,D39/'Input Global'!D$20)</f>
        <v>1.249397574532169</v>
      </c>
      <c r="E116" s="107">
        <f>IF(LEFT($A$114,5)="blank",0,E39/'Input Global'!E$20)</f>
        <v>1.2585029639840879</v>
      </c>
      <c r="F116" s="107">
        <f>IF(LEFT($A$114,5)="blank",0,F39/'Input Global'!F$20)</f>
        <v>1.422070621886677</v>
      </c>
      <c r="G116" s="107">
        <f>IF(LEFT($A$114,5)="blank",0,G39/'Input Global'!G$20)</f>
        <v>1.521141307676761</v>
      </c>
      <c r="H116" s="107">
        <f>IF(LEFT($A$114,5)="blank",0,H39/'Input Global'!H$20)</f>
        <v>1.6271139015942322</v>
      </c>
    </row>
    <row r="117" spans="1:8" x14ac:dyDescent="0.3">
      <c r="A117" s="17" t="str">
        <f t="shared" si="13"/>
        <v>Distribution</v>
      </c>
      <c r="C117" s="17" t="s">
        <v>17</v>
      </c>
      <c r="D117" s="107">
        <f>IF(LEFT($A$114,5)="blank",0,D40/'Input Global'!D$20)</f>
        <v>9.6471469064325959</v>
      </c>
      <c r="E117" s="107">
        <f>IF(LEFT($A$114,5)="blank",0,E40/'Input Global'!E$20)</f>
        <v>11.275603248719619</v>
      </c>
      <c r="F117" s="107">
        <f>IF(LEFT($A$114,5)="blank",0,F40/'Input Global'!F$20)</f>
        <v>8.1274565157935008</v>
      </c>
      <c r="G117" s="107">
        <f>IF(LEFT($A$114,5)="blank",0,G40/'Input Global'!G$20)</f>
        <v>7.2969442103148969</v>
      </c>
      <c r="H117" s="107">
        <f>IF(LEFT($A$114,5)="blank",0,H40/'Input Global'!H$20)</f>
        <v>7.6004007355727694</v>
      </c>
    </row>
    <row r="118" spans="1:8" x14ac:dyDescent="0.3">
      <c r="A118" s="17" t="str">
        <f t="shared" si="13"/>
        <v>Retail</v>
      </c>
      <c r="C118" s="17" t="s">
        <v>17</v>
      </c>
      <c r="D118" s="107">
        <f>IF(LEFT($A$114,5)="blank",0,D41/'Input Global'!D$20)</f>
        <v>1.1400000000000001</v>
      </c>
      <c r="E118" s="107">
        <f>IF(LEFT($A$114,5)="blank",0,E41/'Input Global'!E$20)</f>
        <v>1.32</v>
      </c>
      <c r="F118" s="107">
        <f>IF(LEFT($A$114,5)="blank",0,F41/'Input Global'!F$20)</f>
        <v>1.3837499999999998</v>
      </c>
      <c r="G118" s="107">
        <f>IF(LEFT($A$114,5)="blank",0,G41/'Input Global'!G$20)</f>
        <v>1.4183437499999996</v>
      </c>
      <c r="H118" s="107">
        <f>IF(LEFT($A$114,5)="blank",0,H41/'Input Global'!H$20)</f>
        <v>1.4538023437499994</v>
      </c>
    </row>
    <row r="119" spans="1:8" x14ac:dyDescent="0.3">
      <c r="A119" s="17" t="str">
        <f t="shared" si="13"/>
        <v>Retail and Residual</v>
      </c>
      <c r="C119" s="17" t="s">
        <v>17</v>
      </c>
      <c r="D119" s="107">
        <f ca="1">IF(LEFT($A$114,5)="blank",0,D42/'Input Global'!D$20)</f>
        <v>1.0968126019720974</v>
      </c>
      <c r="E119" s="107">
        <f ca="1">IF(LEFT($A$114,5)="blank",0,E42/'Input Global'!E$20)</f>
        <v>1.2377909192546555</v>
      </c>
      <c r="F119" s="107">
        <f ca="1">IF(LEFT($A$114,5)="blank",0,F42/'Input Global'!F$20)</f>
        <v>1.4056673654347296</v>
      </c>
      <c r="G119" s="107">
        <f ca="1">IF(LEFT($A$114,5)="blank",0,G42/'Input Global'!G$20)</f>
        <v>1.3669823247366255</v>
      </c>
      <c r="H119" s="107">
        <f ca="1">IF(LEFT($A$114,5)="blank",0,H42/'Input Global'!H$20)</f>
        <v>1.4039866669567609</v>
      </c>
    </row>
    <row r="120" spans="1:8" x14ac:dyDescent="0.3">
      <c r="A120" s="17" t="str">
        <f t="shared" si="13"/>
        <v>Green Schemes</v>
      </c>
      <c r="C120" s="17" t="s">
        <v>17</v>
      </c>
      <c r="D120" s="103"/>
      <c r="E120" s="103"/>
      <c r="F120" s="103"/>
      <c r="G120" s="103"/>
      <c r="H120" s="103"/>
    </row>
    <row r="121" spans="1:8" x14ac:dyDescent="0.3">
      <c r="A121" s="19" t="str">
        <f t="shared" si="13"/>
        <v>Feed-in Tariffs</v>
      </c>
      <c r="C121" s="17" t="s">
        <v>17</v>
      </c>
      <c r="D121" s="107">
        <f>IF(LEFT($A$114,5)="blank",0,D44/'Input Global'!D$20)</f>
        <v>0.22779999999999997</v>
      </c>
      <c r="E121" s="107">
        <f>IF(LEFT($A$114,5)="blank",0,E44/'Input Global'!E$20)</f>
        <v>0.22942284756769224</v>
      </c>
      <c r="F121" s="107">
        <f>IF(LEFT($A$114,5)="blank",0,F44/'Input Global'!F$20)</f>
        <v>3.9219999999999993</v>
      </c>
      <c r="G121" s="107">
        <f>IF(LEFT($A$114,5)="blank",0,G44/'Input Global'!G$20)</f>
        <v>4.8413167999999986</v>
      </c>
      <c r="H121" s="107">
        <f>IF(LEFT($A$114,5)="blank",0,H44/'Input Global'!H$20)</f>
        <v>4.8413167999999986</v>
      </c>
    </row>
    <row r="122" spans="1:8" x14ac:dyDescent="0.3">
      <c r="A122" s="19" t="str">
        <f t="shared" si="13"/>
        <v>Carbon costs</v>
      </c>
      <c r="C122" s="17" t="s">
        <v>17</v>
      </c>
      <c r="D122" s="107">
        <f ca="1">IF(LEFT($A$114,5)="blank",0,D45/'Input Global'!D$20)</f>
        <v>0</v>
      </c>
      <c r="E122" s="107">
        <f ca="1">IF(LEFT($A$114,5)="blank",0,E45/'Input Global'!E$20)</f>
        <v>0</v>
      </c>
      <c r="F122" s="107">
        <f ca="1">IF(LEFT($A$114,5)="blank",0,F45/'Input Global'!F$20)</f>
        <v>2.0139999999999998</v>
      </c>
      <c r="G122" s="107">
        <f ca="1">IF(LEFT($A$114,5)="blank",0,G45/'Input Global'!G$20)</f>
        <v>2.1135126945102725</v>
      </c>
      <c r="H122" s="107">
        <f ca="1">IF(LEFT($A$114,5)="blank",0,H45/'Input Global'!H$20)</f>
        <v>2.2219080450147288</v>
      </c>
    </row>
    <row r="123" spans="1:8" x14ac:dyDescent="0.3">
      <c r="A123" s="19" t="str">
        <f t="shared" si="13"/>
        <v>Large Scale Renewable Energy Target</v>
      </c>
      <c r="C123" s="17" t="s">
        <v>17</v>
      </c>
      <c r="D123" s="107">
        <f ca="1">IF(LEFT($A$114,5)="blank",0,D46/'Input Global'!D$20)</f>
        <v>0.184</v>
      </c>
      <c r="E123" s="107">
        <f ca="1">IF(LEFT($A$114,5)="blank",0,E46/'Input Global'!E$20)</f>
        <v>0.27060000000000001</v>
      </c>
      <c r="F123" s="107">
        <f ca="1">IF(LEFT($A$114,5)="blank",0,F46/'Input Global'!F$20)</f>
        <v>0.45700000000000002</v>
      </c>
      <c r="G123" s="107">
        <f ca="1">IF(LEFT($A$114,5)="blank",0,G46/'Input Global'!G$20)</f>
        <v>0.48970133839023428</v>
      </c>
      <c r="H123" s="107">
        <f ca="1">IF(LEFT($A$114,5)="blank",0,H46/'Input Global'!H$20)</f>
        <v>0.51857244623946097</v>
      </c>
    </row>
    <row r="124" spans="1:8" x14ac:dyDescent="0.3">
      <c r="A124" s="19" t="str">
        <f t="shared" si="13"/>
        <v>Small Scale Renewable Energy Scheme</v>
      </c>
      <c r="C124" s="17" t="s">
        <v>17</v>
      </c>
      <c r="D124" s="107">
        <f ca="1">IF(LEFT($A$114,5)="blank",0,D47/'Input Global'!D$20)</f>
        <v>0</v>
      </c>
      <c r="E124" s="107">
        <f ca="1">IF(LEFT($A$114,5)="blank",0,E47/'Input Global'!E$20)</f>
        <v>0.62319999999999998</v>
      </c>
      <c r="F124" s="107">
        <f ca="1">IF(LEFT($A$114,5)="blank",0,F47/'Input Global'!F$20)</f>
        <v>0.56599999999999995</v>
      </c>
      <c r="G124" s="107">
        <f ca="1">IF(LEFT($A$114,5)="blank",0,G47/'Input Global'!G$20)</f>
        <v>0.24911097178683381</v>
      </c>
      <c r="H124" s="107">
        <f ca="1">IF(LEFT($A$114,5)="blank",0,H47/'Input Global'!H$20)</f>
        <v>0.2164639498432602</v>
      </c>
    </row>
    <row r="125" spans="1:8" x14ac:dyDescent="0.3">
      <c r="A125" s="19" t="str">
        <f t="shared" si="13"/>
        <v>Energy savings</v>
      </c>
      <c r="C125" s="17" t="s">
        <v>17</v>
      </c>
      <c r="D125" s="107">
        <f ca="1">IF(LEFT($A$114,5)="blank",0,D48/'Input Global'!D$20)</f>
        <v>7.1999999999999995E-2</v>
      </c>
      <c r="E125" s="107">
        <f ca="1">IF(LEFT($A$114,5)="blank",0,E48/'Input Global'!E$20)</f>
        <v>0.111725</v>
      </c>
      <c r="F125" s="107">
        <f ca="1">IF(LEFT($A$114,5)="blank",0,F48/'Input Global'!F$20)</f>
        <v>0.155</v>
      </c>
      <c r="G125" s="107">
        <f ca="1">IF(LEFT($A$114,5)="blank",0,G48/'Input Global'!G$20)</f>
        <v>0</v>
      </c>
      <c r="H125" s="107">
        <f ca="1">IF(LEFT($A$114,5)="blank",0,H48/'Input Global'!H$20)</f>
        <v>0</v>
      </c>
    </row>
    <row r="126" spans="1:8" x14ac:dyDescent="0.3">
      <c r="A126" s="19" t="str">
        <f t="shared" si="13"/>
        <v>Blank</v>
      </c>
      <c r="C126" s="17" t="s">
        <v>17</v>
      </c>
      <c r="D126" s="107">
        <f ca="1">IF(LEFT($A$114,5)="blank",0,D49/'Input Global'!D$20)</f>
        <v>0</v>
      </c>
      <c r="E126" s="107">
        <f ca="1">IF(LEFT($A$114,5)="blank",0,E49/'Input Global'!E$20)</f>
        <v>0</v>
      </c>
      <c r="F126" s="107">
        <f ca="1">IF(LEFT($A$114,5)="blank",0,F49/'Input Global'!F$20)</f>
        <v>0</v>
      </c>
      <c r="G126" s="107">
        <f ca="1">IF(LEFT($A$114,5)="blank",0,G49/'Input Global'!G$20)</f>
        <v>0</v>
      </c>
      <c r="H126" s="107">
        <f ca="1">IF(LEFT($A$114,5)="blank",0,H49/'Input Global'!H$20)</f>
        <v>0</v>
      </c>
    </row>
    <row r="127" spans="1:8" x14ac:dyDescent="0.3">
      <c r="A127" s="20" t="s">
        <v>61</v>
      </c>
      <c r="B127" s="20"/>
      <c r="C127" s="20" t="s">
        <v>17</v>
      </c>
      <c r="D127" s="107">
        <f ca="1">SUM(D115:D126)</f>
        <v>21.408157082936864</v>
      </c>
      <c r="E127" s="107">
        <f t="shared" ref="E127:H127" ca="1" si="14">SUM(E115:E126)</f>
        <v>24.15984497952606</v>
      </c>
      <c r="F127" s="107">
        <f t="shared" ca="1" si="14"/>
        <v>27.436544503114906</v>
      </c>
      <c r="G127" s="107">
        <f t="shared" ca="1" si="14"/>
        <v>26.681469819859313</v>
      </c>
      <c r="H127" s="107">
        <f t="shared" ca="1" si="14"/>
        <v>27.403739758748632</v>
      </c>
    </row>
    <row r="128" spans="1:8" hidden="1" x14ac:dyDescent="0.3"/>
    <row r="129" spans="1:8" hidden="1" x14ac:dyDescent="0.3">
      <c r="A129" s="18" t="str">
        <f>Dist4</f>
        <v>blank</v>
      </c>
    </row>
    <row r="130" spans="1:8" hidden="1" x14ac:dyDescent="0.3">
      <c r="A130" s="17" t="str">
        <f>A115</f>
        <v>Wholesale</v>
      </c>
      <c r="C130" s="17" t="s">
        <v>17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s="17" t="str">
        <f t="shared" ref="A131:A141" si="15">A116</f>
        <v>Transmission</v>
      </c>
      <c r="C131" s="17" t="s">
        <v>17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s="17" t="str">
        <f t="shared" si="15"/>
        <v>Distribution</v>
      </c>
      <c r="C132" s="17" t="s">
        <v>17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s="17" t="str">
        <f t="shared" si="15"/>
        <v>Retail</v>
      </c>
      <c r="C133" s="17" t="s">
        <v>17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s="17" t="str">
        <f t="shared" si="15"/>
        <v>Retail and Residual</v>
      </c>
      <c r="C134" s="17" t="s">
        <v>17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s="17" t="str">
        <f t="shared" si="15"/>
        <v>Green Schemes</v>
      </c>
      <c r="C135" s="17" t="s">
        <v>17</v>
      </c>
      <c r="D135" s="103"/>
      <c r="E135" s="103"/>
      <c r="F135" s="103"/>
      <c r="G135" s="103"/>
      <c r="H135" s="103"/>
    </row>
    <row r="136" spans="1:8" hidden="1" x14ac:dyDescent="0.3">
      <c r="A136" s="19" t="str">
        <f t="shared" si="15"/>
        <v>Feed-in Tariffs</v>
      </c>
      <c r="C136" s="17" t="s">
        <v>17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9" t="str">
        <f t="shared" si="15"/>
        <v>Carbon costs</v>
      </c>
      <c r="C137" s="17" t="s">
        <v>17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9" t="str">
        <f t="shared" si="15"/>
        <v>Large Scale Renewable Energy Target</v>
      </c>
      <c r="C138" s="17" t="s">
        <v>17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9" t="str">
        <f t="shared" si="15"/>
        <v>Small Scale Renewable Energy Scheme</v>
      </c>
      <c r="C139" s="17" t="s">
        <v>17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9" t="str">
        <f t="shared" si="15"/>
        <v>Energy savings</v>
      </c>
      <c r="C140" s="17" t="s">
        <v>17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9" t="str">
        <f t="shared" si="15"/>
        <v>Blank</v>
      </c>
      <c r="C141" s="17" t="s">
        <v>17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20" t="s">
        <v>61</v>
      </c>
      <c r="B142" s="20"/>
      <c r="C142" s="20" t="s">
        <v>17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18" t="str">
        <f>Dist5</f>
        <v>blank</v>
      </c>
    </row>
    <row r="145" spans="1:8" hidden="1" x14ac:dyDescent="0.3">
      <c r="A145" s="17" t="str">
        <f>A130</f>
        <v>Wholesale</v>
      </c>
      <c r="C145" s="17" t="s">
        <v>17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s="17" t="str">
        <f t="shared" ref="A146:A156" si="17">A131</f>
        <v>Transmission</v>
      </c>
      <c r="C146" s="17" t="s">
        <v>17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s="17" t="str">
        <f t="shared" si="17"/>
        <v>Distribution</v>
      </c>
      <c r="C147" s="17" t="s">
        <v>17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s="17" t="str">
        <f t="shared" si="17"/>
        <v>Retail</v>
      </c>
      <c r="C148" s="17" t="s">
        <v>17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s="17" t="str">
        <f t="shared" si="17"/>
        <v>Retail and Residual</v>
      </c>
      <c r="C149" s="17" t="s">
        <v>17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s="17" t="str">
        <f t="shared" si="17"/>
        <v>Green Schemes</v>
      </c>
      <c r="C150" s="17" t="s">
        <v>17</v>
      </c>
      <c r="D150" s="103"/>
      <c r="E150" s="103"/>
      <c r="F150" s="103"/>
      <c r="G150" s="103"/>
      <c r="H150" s="103"/>
    </row>
    <row r="151" spans="1:8" hidden="1" x14ac:dyDescent="0.3">
      <c r="A151" s="19" t="str">
        <f t="shared" si="17"/>
        <v>Feed-in Tariffs</v>
      </c>
      <c r="C151" s="17" t="s">
        <v>17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9" t="str">
        <f t="shared" si="17"/>
        <v>Carbon costs</v>
      </c>
      <c r="C152" s="17" t="s">
        <v>17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9" t="str">
        <f t="shared" si="17"/>
        <v>Large Scale Renewable Energy Target</v>
      </c>
      <c r="C153" s="17" t="s">
        <v>17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9" t="str">
        <f t="shared" si="17"/>
        <v>Small Scale Renewable Energy Scheme</v>
      </c>
      <c r="C154" s="17" t="s">
        <v>17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9" t="str">
        <f t="shared" si="17"/>
        <v>Energy savings</v>
      </c>
      <c r="C155" s="17" t="s">
        <v>17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9" t="str">
        <f t="shared" si="17"/>
        <v>Blank</v>
      </c>
      <c r="C156" s="17" t="s">
        <v>17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20" t="s">
        <v>61</v>
      </c>
      <c r="B157" s="20"/>
      <c r="C157" s="20" t="s">
        <v>17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6" t="s">
        <v>74</v>
      </c>
    </row>
    <row r="160" spans="1:8" x14ac:dyDescent="0.3">
      <c r="A160" s="17" t="str">
        <f>Dist1</f>
        <v xml:space="preserve">Ausgrid </v>
      </c>
      <c r="B160" s="17" t="s">
        <v>43</v>
      </c>
      <c r="C160" s="17" t="s">
        <v>29</v>
      </c>
      <c r="D160" s="108">
        <f>'Input Global'!D25/'Input Global'!D$30</f>
        <v>0.52009242680069001</v>
      </c>
      <c r="E160" s="108">
        <f>'Input Global'!E25/'Input Global'!E$30</f>
        <v>0.52009242680069001</v>
      </c>
      <c r="F160" s="108">
        <f>'Input Global'!F25/'Input Global'!F$30</f>
        <v>0.52009242680069001</v>
      </c>
      <c r="G160" s="108">
        <f>'Input Global'!G25/'Input Global'!G$30</f>
        <v>0.52009242680069001</v>
      </c>
      <c r="H160" s="108">
        <f>'Input Global'!H25/'Input Global'!H$30</f>
        <v>0.52009242680069001</v>
      </c>
    </row>
    <row r="161" spans="1:8" x14ac:dyDescent="0.3">
      <c r="A161" s="17" t="str">
        <f>Dist2</f>
        <v>Essential</v>
      </c>
      <c r="B161" s="17" t="s">
        <v>43</v>
      </c>
      <c r="C161" s="17" t="s">
        <v>29</v>
      </c>
      <c r="D161" s="108">
        <f>'Input Global'!D26/'Input Global'!D$30</f>
        <v>0.22405504769188242</v>
      </c>
      <c r="E161" s="108">
        <f>'Input Global'!E26/'Input Global'!E$30</f>
        <v>0.22405504769188242</v>
      </c>
      <c r="F161" s="108">
        <f>'Input Global'!F26/'Input Global'!F$30</f>
        <v>0.22405504769188242</v>
      </c>
      <c r="G161" s="108">
        <f>'Input Global'!G26/'Input Global'!G$30</f>
        <v>0.22405504769188242</v>
      </c>
      <c r="H161" s="108">
        <f>'Input Global'!H26/'Input Global'!H$30</f>
        <v>0.22405504769188242</v>
      </c>
    </row>
    <row r="162" spans="1:8" x14ac:dyDescent="0.3">
      <c r="A162" s="17" t="str">
        <f>Dist3</f>
        <v>Endeavour</v>
      </c>
      <c r="B162" s="17" t="s">
        <v>43</v>
      </c>
      <c r="C162" s="17" t="s">
        <v>29</v>
      </c>
      <c r="D162" s="108">
        <f>'Input Global'!D27/'Input Global'!D$30</f>
        <v>0.25585252550742754</v>
      </c>
      <c r="E162" s="108">
        <f>'Input Global'!E27/'Input Global'!E$30</f>
        <v>0.25585252550742754</v>
      </c>
      <c r="F162" s="108">
        <f>'Input Global'!F27/'Input Global'!F$30</f>
        <v>0.25585252550742754</v>
      </c>
      <c r="G162" s="108">
        <f>'Input Global'!G27/'Input Global'!G$30</f>
        <v>0.25585252550742754</v>
      </c>
      <c r="H162" s="108">
        <f>'Input Global'!H27/'Input Global'!H$30</f>
        <v>0.25585252550742754</v>
      </c>
    </row>
    <row r="163" spans="1:8" hidden="1" x14ac:dyDescent="0.3">
      <c r="A163" s="17" t="str">
        <f>Dist4</f>
        <v>blank</v>
      </c>
      <c r="B163" s="17" t="s">
        <v>43</v>
      </c>
      <c r="C163" s="17" t="s">
        <v>29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s="17" t="str">
        <f>Dist5</f>
        <v>blank</v>
      </c>
      <c r="B164" s="17" t="s">
        <v>43</v>
      </c>
      <c r="C164" s="17" t="s">
        <v>29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0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65"/>
  <sheetViews>
    <sheetView zoomScaleNormal="100" workbookViewId="0">
      <pane xSplit="3" ySplit="4" topLeftCell="D134" activePane="bottomRight" state="frozenSplit"/>
      <selection activeCell="I168" sqref="I168"/>
      <selection pane="topRight" activeCell="I168" sqref="I168"/>
      <selection pane="bottomLeft" activeCell="I168" sqref="I168"/>
      <selection pane="bottomRight" activeCell="I168" sqref="I168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7</v>
      </c>
      <c r="B1" s="7" t="str">
        <f ca="1">'Input Global'!B1</f>
        <v>2012 Pricing Trends - model - NSW</v>
      </c>
      <c r="C1" s="5"/>
      <c r="D1" s="99"/>
      <c r="E1" s="99"/>
      <c r="F1" s="99"/>
      <c r="G1" s="98"/>
      <c r="H1" s="98"/>
      <c r="I1" s="79" t="s">
        <v>37</v>
      </c>
    </row>
    <row r="2" spans="1:16" s="2" customFormat="1" ht="19.5" thickBot="1" x14ac:dyDescent="0.35">
      <c r="B2" s="4" t="str">
        <f ca="1">RIGHT(CELL("filename",B2),LEN(CELL("filename",B2))-SEARCH("]",CELL("filename",B2)))</f>
        <v>Calc (LRMC Slow Rate)</v>
      </c>
      <c r="C2" s="3"/>
      <c r="D2" s="100"/>
      <c r="E2" s="100"/>
      <c r="F2" s="100"/>
      <c r="G2" s="98"/>
      <c r="H2" s="98"/>
      <c r="I2" s="85" t="s">
        <v>31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" customFormat="1" ht="15" x14ac:dyDescent="0.25">
      <c r="B4" s="6"/>
      <c r="C4" s="6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44</v>
      </c>
      <c r="B6" s="1" t="s">
        <v>48</v>
      </c>
    </row>
    <row r="7" spans="1:16" x14ac:dyDescent="0.3">
      <c r="A7" s="8" t="str">
        <f>Dist1</f>
        <v xml:space="preserve">Ausgrid </v>
      </c>
    </row>
    <row r="8" spans="1:16" x14ac:dyDescent="0.3">
      <c r="A8" t="str">
        <f>'Calc (Jurisdiction)'!A8</f>
        <v>Wholesale</v>
      </c>
      <c r="C8" t="s">
        <v>63</v>
      </c>
      <c r="D8" s="107">
        <f ca="1">VLOOKUP($B$2,dist1wholesale,COLUMN('Calc (Jurisdiction)'!D8),FALSE)*'Input Global'!D18</f>
        <v>52080</v>
      </c>
      <c r="E8" s="107">
        <f ca="1">VLOOKUP($B$2,dist1wholesale,COLUMN('Calc (Jurisdiction)'!E8),FALSE)*'Input Global'!E18</f>
        <v>51548</v>
      </c>
      <c r="F8" s="107">
        <f ca="1">VLOOKUP($B$2,dist1wholesale,COLUMN('Calc (Jurisdiction)'!F8),FALSE)*'Input Global'!F18</f>
        <v>52102.740550000002</v>
      </c>
      <c r="G8" s="107">
        <f ca="1">VLOOKUP($B$2,dist1wholesale,COLUMN('Calc (Jurisdiction)'!G8),FALSE)*'Input Global'!G18</f>
        <v>49537.449321121305</v>
      </c>
      <c r="H8" s="107">
        <f ca="1">VLOOKUP($B$2,dist1wholesale,COLUMN('Calc (Jurisdiction)'!H8),FALSE)*'Input Global'!H18</f>
        <v>50023.835361260179</v>
      </c>
    </row>
    <row r="9" spans="1:16" x14ac:dyDescent="0.3">
      <c r="A9" t="str">
        <f>'Calc (Jurisdiction)'!A9</f>
        <v>Transmission</v>
      </c>
      <c r="C9" t="s">
        <v>63</v>
      </c>
      <c r="D9" s="107">
        <f>'Input General'!D8+(SUMPRODUCT('Input General'!D9:D12,'Input General'!D73:D76)*'Input Global'!D18)</f>
        <v>13643.396656357232</v>
      </c>
      <c r="E9" s="107">
        <f>'Input General'!E8+(SUMPRODUCT('Input General'!E9:E12,'Input General'!E73:E76)*'Input Global'!E18)</f>
        <v>17085.511121963093</v>
      </c>
      <c r="F9" s="107">
        <f>'Input General'!F8+(SUMPRODUCT('Input General'!F9:F12,'Input General'!F73:F76)*'Input Global'!F18)</f>
        <v>34551.444272383662</v>
      </c>
      <c r="G9" s="107">
        <f>'Input General'!G8+(SUMPRODUCT('Input General'!G9:G12,'Input General'!G73:G76)*'Input Global'!G18)</f>
        <v>36958.522533069154</v>
      </c>
      <c r="H9" s="107">
        <f>'Input General'!H8+(SUMPRODUCT('Input General'!H9:H12,'Input General'!H73:H76)*'Input Global'!H18)</f>
        <v>39533.293516159778</v>
      </c>
    </row>
    <row r="10" spans="1:16" x14ac:dyDescent="0.3">
      <c r="A10" t="str">
        <f>'Calc (Jurisdiction)'!A10</f>
        <v>Distribution</v>
      </c>
      <c r="C10" t="s">
        <v>63</v>
      </c>
      <c r="D10" s="107">
        <f>'Input General'!D28+SUMPRODUCT('Input General'!D29:D32,'Input General'!D73:D76)*'Input Global'!D18+'Input General'!D47</f>
        <v>62286.834148305898</v>
      </c>
      <c r="E10" s="107">
        <f>'Input General'!E28+SUMPRODUCT('Input General'!E29:E32,'Input General'!E73:E76)*'Input Global'!E18+'Input General'!E47</f>
        <v>74373.050202635233</v>
      </c>
      <c r="F10" s="107">
        <f>'Input General'!F28+SUMPRODUCT('Input General'!F29:F32,'Input General'!F73:F76)*'Input Global'!F18+'Input General'!F47</f>
        <v>74017.827471978759</v>
      </c>
      <c r="G10" s="107">
        <f>'Input General'!G28+SUMPRODUCT('Input General'!G29:G32,'Input General'!G73:G76)*'Input Global'!G18+'Input General'!G47</f>
        <v>74687.392682512756</v>
      </c>
      <c r="H10" s="107">
        <f>'Input General'!H28+SUMPRODUCT('Input General'!H29:H32,'Input General'!H73:H76)*'Input Global'!H18+'Input General'!H47</f>
        <v>76639.320418420059</v>
      </c>
      <c r="P10" s="9"/>
    </row>
    <row r="11" spans="1:16" x14ac:dyDescent="0.3">
      <c r="A11" t="str">
        <f>'Calc (Jurisdiction)'!A11</f>
        <v>Retail</v>
      </c>
      <c r="C11" t="s">
        <v>63</v>
      </c>
      <c r="D11" s="107">
        <f>'Input General'!D90*'Input Global'!D18</f>
        <v>9870</v>
      </c>
      <c r="E11" s="107">
        <f>'Input General'!E90*'Input Global'!E18</f>
        <v>9870</v>
      </c>
      <c r="F11" s="107">
        <f>'Input General'!F90*'Input Global'!F18</f>
        <v>10332</v>
      </c>
      <c r="G11" s="107">
        <f>'Input General'!G90*'Input Global'!G18</f>
        <v>10590.3</v>
      </c>
      <c r="H11" s="107">
        <f>'Input General'!H90*'Input Global'!H18</f>
        <v>10855.057499999997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63</v>
      </c>
      <c r="D12" s="107">
        <f ca="1">VLOOKUP($B$2,'Input General'!$A$143:$H$147,COLUMN(D12),FALSE)*'Input Global'!D33</f>
        <v>7609.2064634518083</v>
      </c>
      <c r="E12" s="107">
        <f ca="1">VLOOKUP($B$2,'Input General'!$A$143:$H$147,COLUMN(E12),FALSE)*'Input Global'!E33</f>
        <v>8710.333363834683</v>
      </c>
      <c r="F12" s="107">
        <f ca="1">VLOOKUP($B$2,'Input General'!$A$143:$H$147,COLUMN(F12),FALSE)*'Input Global'!F33</f>
        <v>10592.981891653271</v>
      </c>
      <c r="G12" s="107">
        <f ca="1">VLOOKUP($B$2,'Input General'!$A$143:$H$147,COLUMN(G12),FALSE)*'Input Global'!G33</f>
        <v>10546.697775484005</v>
      </c>
      <c r="H12" s="107">
        <f ca="1">VLOOKUP($B$2,'Input General'!$A$143:$H$147,COLUMN(H12),FALSE)*'Input Global'!H33</f>
        <v>10871.850880977989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63</v>
      </c>
      <c r="D14" s="107">
        <f>'Input General'!D53+SUMPRODUCT('Input General'!D54:D57,'Input General'!D73:D76)*'Input Global'!D18</f>
        <v>1239</v>
      </c>
      <c r="E14" s="107">
        <f>'Input General'!E53+SUMPRODUCT('Input General'!E54:E57,'Input General'!E73:E76)*'Input Global'!E18</f>
        <v>1387.2333760439487</v>
      </c>
      <c r="F14" s="107">
        <f>'Input General'!F53+SUMPRODUCT('Input General'!F54:F57,'Input General'!F73:F76)*'Input Global'!F18</f>
        <v>2746.0440325500003</v>
      </c>
      <c r="G14" s="107">
        <f>'Input General'!G53+SUMPRODUCT('Input General'!G54:G57,'Input General'!G73:G76)*'Input Global'!G18</f>
        <v>3389.71675377972</v>
      </c>
      <c r="H14" s="107">
        <f>'Input General'!H53+SUMPRODUCT('Input General'!H54:H57,'Input General'!H73:H76)*'Input Global'!H18</f>
        <v>3389.71675377972</v>
      </c>
    </row>
    <row r="15" spans="1:16" x14ac:dyDescent="0.3">
      <c r="A15" s="11" t="str">
        <f>'Calc (Jurisdiction)'!A15</f>
        <v>Carbon costs</v>
      </c>
      <c r="C15" t="s">
        <v>63</v>
      </c>
      <c r="D15" s="107">
        <f ca="1">VLOOKUP($B$2,'Input General'!$A$176:$H$180, COLUMN('Input General'!D176),FALSE)*'Input Global'!D$18</f>
        <v>0</v>
      </c>
      <c r="E15" s="107">
        <f ca="1">VLOOKUP($B$2,'Input General'!$A$176:$H$180, COLUMN('Input General'!E176),FALSE)*'Input Global'!E$18</f>
        <v>0</v>
      </c>
      <c r="F15" s="107">
        <f ca="1">VLOOKUP($B$2,'Input General'!$A$176:$H$180, COLUMN('Input General'!F176),FALSE)*'Input Global'!F$18</f>
        <v>14299.774999999998</v>
      </c>
      <c r="G15" s="107">
        <f ca="1">VLOOKUP($B$2,'Input General'!$A$176:$H$180, COLUMN('Input General'!G176),FALSE)*'Input Global'!G$18</f>
        <v>15044.0752735117</v>
      </c>
      <c r="H15" s="107">
        <f ca="1">VLOOKUP($B$2,'Input General'!$A$176:$H$180, COLUMN('Input General'!H176),FALSE)*'Input Global'!H$18</f>
        <v>15809.023680277582</v>
      </c>
      <c r="I15" s="10"/>
    </row>
    <row r="16" spans="1:16" x14ac:dyDescent="0.3">
      <c r="A16" s="11" t="str">
        <f>'Calc (Jurisdiction)'!A16</f>
        <v>Large Scale Renewable Energy Target</v>
      </c>
      <c r="C16" t="s">
        <v>63</v>
      </c>
      <c r="D16" s="107">
        <f ca="1">VLOOKUP($B$2,'Input General'!$A215:$H220,COLUMN(D16),FALSE)*'Input Global'!D18</f>
        <v>1288</v>
      </c>
      <c r="E16" s="107">
        <f ca="1">VLOOKUP($B$2,'Input General'!$A215:$H220,COLUMN(E16),FALSE)*'Input Global'!E18</f>
        <v>1915.7249999999997</v>
      </c>
      <c r="F16" s="107">
        <f ca="1">VLOOKUP($B$2,'Input General'!$A215:$H220,COLUMN(F16),FALSE)*'Input Global'!F18</f>
        <v>3178.5249999999996</v>
      </c>
      <c r="G16" s="107">
        <f ca="1">VLOOKUP($B$2,'Input General'!$A215:$H220,COLUMN(G16),FALSE)*'Input Global'!G18</f>
        <v>3405.9693688625798</v>
      </c>
      <c r="H16" s="107">
        <f ca="1">VLOOKUP($B$2,'Input General'!$A215:$H220,COLUMN(H16),FALSE)*'Input Global'!H18</f>
        <v>3606.7730726673558</v>
      </c>
      <c r="I16" s="10"/>
    </row>
    <row r="17" spans="1:9" x14ac:dyDescent="0.3">
      <c r="A17" s="11" t="str">
        <f>'Calc (Jurisdiction)'!A17</f>
        <v>Small Scale Renewable Energy Scheme</v>
      </c>
      <c r="C17" t="s">
        <v>63</v>
      </c>
      <c r="D17" s="107">
        <f ca="1">'Input General'!D91*'Input Global'!D18</f>
        <v>0</v>
      </c>
      <c r="E17" s="107">
        <f ca="1">'Input General'!E91*'Input Global'!E18</f>
        <v>4340.8749999999991</v>
      </c>
      <c r="F17" s="107">
        <f ca="1">'Input General'!F91*'Input Global'!F18</f>
        <v>3852.9749999999995</v>
      </c>
      <c r="G17" s="107">
        <f ca="1">'Input General'!G91*'Input Global'!G18</f>
        <v>1695.7921316614418</v>
      </c>
      <c r="H17" s="107">
        <f ca="1">'Input General'!H91*'Input Global'!H18</f>
        <v>1473.5515673981197</v>
      </c>
      <c r="I17" s="10"/>
    </row>
    <row r="18" spans="1:9" x14ac:dyDescent="0.3">
      <c r="A18" s="11" t="str">
        <f>'Calc (Jurisdiction)'!A18</f>
        <v>Energy savings</v>
      </c>
      <c r="C18" t="s">
        <v>63</v>
      </c>
      <c r="D18" s="107">
        <f ca="1">VLOOKUP($B$2,'Input General'!$A$103:$H$107,COLUMN(D18),FALSE)*'Input Global'!D$18</f>
        <v>503.99999999999994</v>
      </c>
      <c r="E18" s="107">
        <f ca="1">VLOOKUP($B$2,'Input General'!$A$103:$H$107,COLUMN(E18),FALSE)*'Input Global'!E$18</f>
        <v>782.07500000000005</v>
      </c>
      <c r="F18" s="107">
        <f ca="1">VLOOKUP($B$2,'Input General'!$A$103:$H$107,COLUMN(F18),FALSE)*'Input Global'!F$18</f>
        <v>1085</v>
      </c>
      <c r="G18" s="107">
        <f ca="1">VLOOKUP($B$2,'Input General'!$A$103:$H$107,COLUMN(G18),FALSE)*'Input Global'!G$18</f>
        <v>0</v>
      </c>
      <c r="H18" s="107">
        <f ca="1">VLOOKUP($B$2,'Input General'!$A$103:$H$107,COLUMN(H18),FALSE)*'Input Global'!H$18</f>
        <v>0</v>
      </c>
      <c r="I18" s="10"/>
    </row>
    <row r="19" spans="1:9" x14ac:dyDescent="0.3">
      <c r="A19" s="11" t="str">
        <f>'Calc (Jurisdiction)'!A19</f>
        <v>Blank</v>
      </c>
      <c r="C19" t="s">
        <v>63</v>
      </c>
      <c r="D19" s="107">
        <f ca="1">VLOOKUP($B$2,'Input General'!$A$123:$H$127,COLUMN(D19),FALSE)*'Input Global'!D$18</f>
        <v>0</v>
      </c>
      <c r="E19" s="107">
        <f ca="1">VLOOKUP($B$2,'Input General'!$A$123:$H$127,COLUMN(E19),FALSE)*'Input Global'!E$18</f>
        <v>0</v>
      </c>
      <c r="F19" s="107">
        <f ca="1">VLOOKUP($B$2,'Input General'!$A$123:$H$127,COLUMN(F19),FALSE)*'Input Global'!F$18</f>
        <v>0</v>
      </c>
      <c r="G19" s="107">
        <f ca="1">VLOOKUP($B$2,'Input General'!$A$123:$H$127,COLUMN(G19),FALSE)*'Input Global'!G$18</f>
        <v>0</v>
      </c>
      <c r="H19" s="107">
        <f ca="1">VLOOKUP($B$2,'Input General'!$A$123:$H$127,COLUMN(H19),FALSE)*'Input Global'!H$18</f>
        <v>0</v>
      </c>
      <c r="I19" s="10"/>
    </row>
    <row r="20" spans="1:9" x14ac:dyDescent="0.3">
      <c r="A20" s="15" t="s">
        <v>61</v>
      </c>
      <c r="B20" s="12"/>
      <c r="C20" s="12" t="s">
        <v>63</v>
      </c>
      <c r="D20" s="107">
        <f ca="1">SUM(D8:D19)</f>
        <v>148520.43726811494</v>
      </c>
      <c r="E20" s="107">
        <f t="shared" ref="E20:H20" ca="1" si="0">SUM(E8:E19)</f>
        <v>170012.80306447696</v>
      </c>
      <c r="F20" s="107">
        <f t="shared" ca="1" si="0"/>
        <v>206759.31321856569</v>
      </c>
      <c r="G20" s="107">
        <f t="shared" ca="1" si="0"/>
        <v>205855.91584000262</v>
      </c>
      <c r="H20" s="107">
        <f t="shared" ca="1" si="0"/>
        <v>212202.42275094075</v>
      </c>
    </row>
    <row r="21" spans="1:9" x14ac:dyDescent="0.3">
      <c r="D21" s="102"/>
    </row>
    <row r="22" spans="1:9" x14ac:dyDescent="0.3">
      <c r="A22" s="8" t="str">
        <f>Dist2</f>
        <v>Essential</v>
      </c>
    </row>
    <row r="23" spans="1:9" x14ac:dyDescent="0.3">
      <c r="A23" t="str">
        <f>A8</f>
        <v>Wholesale</v>
      </c>
      <c r="C23" t="s">
        <v>63</v>
      </c>
      <c r="D23" s="107">
        <f ca="1">IF(LEFT($A$22,5)="blank",0,VLOOKUP($B$2,dist2wholesale,COLUMN(D8),FALSE)*'Input Global'!D19)</f>
        <v>50813</v>
      </c>
      <c r="E23" s="107">
        <f ca="1">IF(LEFT($A$22,5)="blank",0,VLOOKUP($B$2,dist2wholesale,COLUMN(E8),FALSE)*'Input Global'!E19)</f>
        <v>49917</v>
      </c>
      <c r="F23" s="107">
        <f ca="1">IF(LEFT($A$22,5)="blank",0,VLOOKUP($B$2,dist2wholesale,COLUMN(F8),FALSE)*'Input Global'!F19)</f>
        <v>52210.365550000002</v>
      </c>
      <c r="G23" s="107">
        <f ca="1">IF(LEFT($A$22,5)="blank",0,VLOOKUP($B$2,dist2wholesale,COLUMN(G8),FALSE)*'Input Global'!G19)</f>
        <v>47139.328172863519</v>
      </c>
      <c r="H23" s="107">
        <f ca="1">IF(LEFT($A$22,5)="blank",0,VLOOKUP($B$2,dist2wholesale,COLUMN(H8),FALSE)*'Input Global'!H19)</f>
        <v>49935.988554382981</v>
      </c>
    </row>
    <row r="24" spans="1:9" x14ac:dyDescent="0.3">
      <c r="A24" t="str">
        <f t="shared" ref="A24:A34" si="1">A9</f>
        <v>Transmission</v>
      </c>
      <c r="C24" t="s">
        <v>63</v>
      </c>
      <c r="D24" s="107">
        <f>IF(LEFT($A$22,5)="blank",0,'Input General'!D14+(SUMPRODUCT('Input General'!D15:D18,'Input General'!D78:D81)*'Input Global'!D19))</f>
        <v>14833.721625305587</v>
      </c>
      <c r="E24" s="107">
        <f>IF(LEFT($A$22,5)="blank",0,'Input General'!E14+(SUMPRODUCT('Input General'!E15:E18,'Input General'!E78:E81)*'Input Global'!E19))</f>
        <v>17812.2</v>
      </c>
      <c r="F24" s="107">
        <f>IF(LEFT($A$22,5)="blank",0,'Input General'!F14+(SUMPRODUCT('Input General'!F15:F18,'Input General'!F78:F81)*'Input Global'!F19))</f>
        <v>19373.491992677085</v>
      </c>
      <c r="G24" s="107">
        <f>IF(LEFT($A$22,5)="blank",0,'Input General'!G14+(SUMPRODUCT('Input General'!G15:G18,'Input General'!G78:G81)*'Input Global'!G19))</f>
        <v>20723.175410872456</v>
      </c>
      <c r="H24" s="107">
        <f>IF(LEFT($A$22,5)="blank",0,'Input General'!H14+(SUMPRODUCT('Input General'!H15:H18,'Input General'!H78:H81)*'Input Global'!H19))</f>
        <v>22166.886551588894</v>
      </c>
    </row>
    <row r="25" spans="1:9" x14ac:dyDescent="0.3">
      <c r="A25" t="str">
        <f t="shared" si="1"/>
        <v>Distribution</v>
      </c>
      <c r="C25" t="s">
        <v>63</v>
      </c>
      <c r="D25" s="107">
        <f>IF(LEFT($A$22,5)="blank",0,'Input General'!D34+SUMPRODUCT('Input General'!D35:D38,'Input General'!D78:D81)*'Input Global'!D19+'Input General'!D48)</f>
        <v>89723.450000000303</v>
      </c>
      <c r="E25" s="107">
        <f>IF(LEFT($A$22,5)="blank",0,'Input General'!E34+SUMPRODUCT('Input General'!E35:E38,'Input General'!E78:E81)*'Input Global'!E19+'Input General'!E48)</f>
        <v>109620.68</v>
      </c>
      <c r="F25" s="107">
        <f>IF(LEFT($A$22,5)="blank",0,'Input General'!F34+SUMPRODUCT('Input General'!F35:F38,'Input General'!F78:F81)*'Input Global'!F19+'Input General'!F48)</f>
        <v>131321.078752</v>
      </c>
      <c r="G25" s="107">
        <f>IF(LEFT($A$22,5)="blank",0,'Input General'!G34+SUMPRODUCT('Input General'!G35:G38,'Input General'!G78:G81)*'Input Global'!G19+'Input General'!G48)</f>
        <v>128670.07656065673</v>
      </c>
      <c r="H25" s="107">
        <f>IF(LEFT($A$22,5)="blank",0,'Input General'!H34+SUMPRODUCT('Input General'!H35:H38,'Input General'!H78:H81)*'Input Global'!H19+'Input General'!H48)</f>
        <v>131956.28270434189</v>
      </c>
    </row>
    <row r="26" spans="1:9" x14ac:dyDescent="0.3">
      <c r="A26" t="str">
        <f t="shared" si="1"/>
        <v>Retail</v>
      </c>
      <c r="C26" t="s">
        <v>63</v>
      </c>
      <c r="D26" s="107">
        <f>IF(LEFT($A$22,5)="blank",0,'Input General'!D94*'Input Global'!D19)</f>
        <v>9240</v>
      </c>
      <c r="E26" s="107">
        <f>IF(LEFT($A$22,5)="blank",0,'Input General'!E94*'Input Global'!E19)</f>
        <v>10010</v>
      </c>
      <c r="F26" s="107">
        <f>IF(LEFT($A$22,5)="blank",0,'Input General'!F94*'Input Global'!F19)</f>
        <v>10475.499999999998</v>
      </c>
      <c r="G26" s="107">
        <f>IF(LEFT($A$22,5)="blank",0,'Input General'!G94*'Input Global'!G19)</f>
        <v>10737.387499999999</v>
      </c>
      <c r="H26" s="107">
        <f>IF(LEFT($A$22,5)="blank",0,'Input General'!H94*'Input Global'!H19)</f>
        <v>11005.822187499998</v>
      </c>
    </row>
    <row r="27" spans="1:9" x14ac:dyDescent="0.3">
      <c r="A27" t="str">
        <f t="shared" si="1"/>
        <v>Retail and Residual</v>
      </c>
      <c r="C27" t="s">
        <v>63</v>
      </c>
      <c r="D27" s="107">
        <f ca="1">IF(LEFT($A$22,5)="blank",0,VLOOKUP($B$2,'Input General'!$A$149:$H$153,COLUMN(D12),FALSE)*'Input Global'!D$34)</f>
        <v>9049.1933894091344</v>
      </c>
      <c r="E27" s="107">
        <f ca="1">IF(LEFT($A$22,5)="blank",0,VLOOKUP($B$2,'Input General'!$A$149:$H$153,COLUMN(E12),FALSE)*'Input Global'!E$34)</f>
        <v>10568.43477</v>
      </c>
      <c r="F27" s="107">
        <f ca="1">IF(LEFT($A$22,5)="blank",0,VLOOKUP($B$2,'Input General'!$A$149:$H$153,COLUMN(F12),FALSE)*'Input Global'!F$34)</f>
        <v>12860.670208717282</v>
      </c>
      <c r="G27" s="107">
        <f ca="1">IF(LEFT($A$22,5)="blank",0,VLOOKUP($B$2,'Input General'!$A$149:$H$153,COLUMN(G12),FALSE)*'Input Global'!G$34)</f>
        <v>12430.702656911175</v>
      </c>
      <c r="H27" s="107">
        <f ca="1">IF(LEFT($A$22,5)="blank",0,VLOOKUP($B$2,'Input General'!$A$149:$H$153,COLUMN(H12),FALSE)*'Input Global'!H$34)</f>
        <v>12891.336249491791</v>
      </c>
    </row>
    <row r="28" spans="1:9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x14ac:dyDescent="0.3">
      <c r="A29" s="11" t="str">
        <f t="shared" si="1"/>
        <v>Feed-in Tariffs</v>
      </c>
      <c r="C29" t="s">
        <v>63</v>
      </c>
      <c r="D29" s="107">
        <f>IF(LEFT($A$22,5)="blank",0,'Input General'!D59+SUMPRODUCT('Input General'!D60:D63,'Input General'!D78:D81)*'Input Global'!D19)</f>
        <v>1175.4837341225127</v>
      </c>
      <c r="E29" s="107">
        <f>IF(LEFT($A$22,5)="blank",0,'Input General'!E59+SUMPRODUCT('Input General'!E60:E63,'Input General'!E78:E81)*'Input Global'!E19)</f>
        <v>1255.8</v>
      </c>
      <c r="F29" s="107">
        <f>IF(LEFT($A$22,5)="blank",0,'Input General'!F59+SUMPRODUCT('Input General'!F60:F63,'Input General'!F78:F81)*'Input Global'!F19)</f>
        <v>2250.6231260133077</v>
      </c>
      <c r="G29" s="107">
        <f>IF(LEFT($A$22,5)="blank",0,'Input General'!G59+SUMPRODUCT('Input General'!G60:G63,'Input General'!G78:G81)*'Input Global'!G19)</f>
        <v>2778.1691867508275</v>
      </c>
      <c r="H29" s="107">
        <f>IF(LEFT($A$22,5)="blank",0,'Input General'!H59+SUMPRODUCT('Input General'!H60:H63,'Input General'!H78:H81)*'Input Global'!H19)</f>
        <v>2778.1691867508275</v>
      </c>
    </row>
    <row r="30" spans="1:9" x14ac:dyDescent="0.3">
      <c r="A30" s="11" t="str">
        <f t="shared" si="1"/>
        <v>Carbon costs</v>
      </c>
      <c r="C30" t="s">
        <v>63</v>
      </c>
      <c r="D30" s="107">
        <f ca="1">IF(LEFT($A$22,5)="blank",0,VLOOKUP($B$2,'Input General'!$A$182:$H$186,COLUMN('Input General'!D182),FALSE)*'Input Global'!D$19)</f>
        <v>0</v>
      </c>
      <c r="E30" s="107">
        <f ca="1">IF(LEFT($A$22,5)="blank",0,VLOOKUP($B$2,'Input General'!$A$182:$H$186,COLUMN('Input General'!E182),FALSE)*'Input Global'!E$19)</f>
        <v>0</v>
      </c>
      <c r="F30" s="107">
        <f ca="1">IF(LEFT($A$22,5)="blank",0,VLOOKUP($B$2,'Input General'!$A$182:$H$186,COLUMN('Input General'!F182),FALSE)*'Input Global'!F$19)</f>
        <v>14235.199999999999</v>
      </c>
      <c r="G30" s="107">
        <f ca="1">IF(LEFT($A$22,5)="blank",0,VLOOKUP($B$2,'Input General'!$A$182:$H$186,COLUMN('Input General'!G182),FALSE)*'Input Global'!G$19)</f>
        <v>14964.821007623019</v>
      </c>
      <c r="H30" s="107">
        <f ca="1">IF(LEFT($A$22,5)="blank",0,VLOOKUP($B$2,'Input General'!$A$182:$H$186,COLUMN('Input General'!H182),FALSE)*'Input Global'!H$19)</f>
        <v>15730.976486802896</v>
      </c>
      <c r="I30" s="10"/>
    </row>
    <row r="31" spans="1:9" x14ac:dyDescent="0.3">
      <c r="A31" s="11" t="str">
        <f t="shared" si="1"/>
        <v>Large Scale Renewable Energy Target</v>
      </c>
      <c r="C31" t="s">
        <v>63</v>
      </c>
      <c r="D31" s="107">
        <f ca="1">IF(LEFT($A$22,5)="blank",0,VLOOKUP($B$2,'Input General'!$A221:$H226,COLUMN(D16),FALSE)*'Input Global'!D19)</f>
        <v>1288</v>
      </c>
      <c r="E31" s="107">
        <f ca="1">IF(LEFT($A$22,5)="blank",0,VLOOKUP($B$2,'Input General'!$A221:$H226,COLUMN(E16),FALSE)*'Input Global'!E19)</f>
        <v>1901.3749999999995</v>
      </c>
      <c r="F31" s="107">
        <f ca="1">IF(LEFT($A$22,5)="blank",0,VLOOKUP($B$2,'Input General'!$A221:$H226,COLUMN(F16),FALSE)*'Input Global'!F19)</f>
        <v>3185.7</v>
      </c>
      <c r="G31" s="107">
        <f ca="1">IF(LEFT($A$22,5)="blank",0,VLOOKUP($B$2,'Input General'!$A221:$H226,COLUMN(G16),FALSE)*'Input Global'!G19)</f>
        <v>3413.6577873024503</v>
      </c>
      <c r="H31" s="107">
        <f ca="1">IF(LEFT($A$22,5)="blank",0,VLOOKUP($B$2,'Input General'!$A221:$H226,COLUMN(H16),FALSE)*'Input Global'!H19)</f>
        <v>3614.9147726056572</v>
      </c>
      <c r="I31" s="10"/>
    </row>
    <row r="32" spans="1:9" x14ac:dyDescent="0.3">
      <c r="A32" s="11" t="str">
        <f t="shared" si="1"/>
        <v>Small Scale Renewable Energy Scheme</v>
      </c>
      <c r="C32" t="s">
        <v>63</v>
      </c>
      <c r="D32" s="107">
        <f ca="1">IF(LEFT($A$22,5)="blank",0,'Input General'!D95*'Input Global'!D$19)</f>
        <v>0</v>
      </c>
      <c r="E32" s="107">
        <f ca="1">IF(LEFT($A$22,5)="blank",0,'Input General'!E95*'Input Global'!E$19)</f>
        <v>4412.625</v>
      </c>
      <c r="F32" s="107">
        <f ca="1">IF(LEFT($A$22,5)="blank",0,'Input General'!F95*'Input Global'!F$19)</f>
        <v>4025.1750000000002</v>
      </c>
      <c r="G32" s="107">
        <f ca="1">IF(LEFT($A$22,5)="blank",0,'Input General'!G95*'Input Global'!G$19)</f>
        <v>1771.5817241379309</v>
      </c>
      <c r="H32" s="107">
        <f ca="1">IF(LEFT($A$22,5)="blank",0,'Input General'!H95*'Input Global'!H$19)</f>
        <v>1539.4086206896557</v>
      </c>
      <c r="I32" s="10"/>
    </row>
    <row r="33" spans="1:9" x14ac:dyDescent="0.3">
      <c r="A33" s="11" t="str">
        <f t="shared" si="1"/>
        <v>Energy savings</v>
      </c>
      <c r="C33" t="s">
        <v>63</v>
      </c>
      <c r="D33" s="107">
        <f ca="1">IF(LEFT($A$22,5)="blank",0,VLOOKUP($B$2,'Input General'!$A$109:$H$113,COLUMN(D33),FALSE)*'Input Global'!D$19)</f>
        <v>503.99999999999994</v>
      </c>
      <c r="E33" s="107">
        <f ca="1">IF(LEFT($A$22,5)="blank",0,VLOOKUP($B$2,'Input General'!$A$109:$H$113,COLUMN(E33),FALSE)*'Input Global'!E$19)</f>
        <v>782.07500000000005</v>
      </c>
      <c r="F33" s="107">
        <f ca="1">IF(LEFT($A$22,5)="blank",0,VLOOKUP($B$2,'Input General'!$A$109:$H$113,COLUMN(F33),FALSE)*'Input Global'!F$19)</f>
        <v>1083.425</v>
      </c>
      <c r="G33" s="107">
        <f ca="1">IF(LEFT($A$22,5)="blank",0,VLOOKUP($B$2,'Input General'!$A$109:$H$113,COLUMN(G33),FALSE)*'Input Global'!G$19)</f>
        <v>0</v>
      </c>
      <c r="H33" s="107">
        <f ca="1">IF(LEFT($A$22,5)="blank",0,VLOOKUP($B$2,'Input General'!$A$109:$H$113,COLUMN(H33),FALSE)*'Input Global'!H$19)</f>
        <v>0</v>
      </c>
      <c r="I33" s="10"/>
    </row>
    <row r="34" spans="1:9" x14ac:dyDescent="0.3">
      <c r="A34" s="11" t="str">
        <f t="shared" si="1"/>
        <v>Blank</v>
      </c>
      <c r="C34" t="s">
        <v>63</v>
      </c>
      <c r="D34" s="107">
        <f ca="1">IF(LEFT($A$22,5)="blank",0,VLOOKUP($B$2,'Input General'!$A$129:$H$133,COLUMN(D34),FALSE)*'Input Global'!D$19)</f>
        <v>0</v>
      </c>
      <c r="E34" s="107">
        <f ca="1">IF(LEFT($A$22,5)="blank",0,VLOOKUP($B$2,'Input General'!$A$129:$H$133,COLUMN(E34),FALSE)*'Input Global'!E$19)</f>
        <v>0</v>
      </c>
      <c r="F34" s="107">
        <f ca="1">IF(LEFT($A$22,5)="blank",0,VLOOKUP($B$2,'Input General'!$A$129:$H$133,COLUMN(F34),FALSE)*'Input Global'!F$19)</f>
        <v>0</v>
      </c>
      <c r="G34" s="107">
        <f ca="1">IF(LEFT($A$22,5)="blank",0,VLOOKUP($B$2,'Input General'!$A$129:$H$133,COLUMN(G34),FALSE)*'Input Global'!G$19)</f>
        <v>0</v>
      </c>
      <c r="H34" s="107">
        <f ca="1">IF(LEFT($A$22,5)="blank",0,VLOOKUP($B$2,'Input General'!$A$129:$H$133,COLUMN(H34),FALSE)*'Input Global'!H$19)</f>
        <v>0</v>
      </c>
      <c r="I34" s="10"/>
    </row>
    <row r="35" spans="1:9" x14ac:dyDescent="0.3">
      <c r="A35" s="12" t="s">
        <v>61</v>
      </c>
      <c r="B35" s="12"/>
      <c r="C35" s="12" t="s">
        <v>63</v>
      </c>
      <c r="D35" s="107">
        <f ca="1">SUM(D23:D34)</f>
        <v>176626.84874883754</v>
      </c>
      <c r="E35" s="107">
        <f t="shared" ref="E35:H35" ca="1" si="2">SUM(E23:E34)</f>
        <v>206280.18977</v>
      </c>
      <c r="F35" s="107">
        <f t="shared" ca="1" si="2"/>
        <v>251021.2296294077</v>
      </c>
      <c r="G35" s="107">
        <f t="shared" ca="1" si="2"/>
        <v>242628.90000711812</v>
      </c>
      <c r="H35" s="107">
        <f t="shared" ca="1" si="2"/>
        <v>251619.78531415458</v>
      </c>
    </row>
    <row r="37" spans="1:9" x14ac:dyDescent="0.3">
      <c r="A37" s="8" t="str">
        <f>Dist3</f>
        <v>Endeavour</v>
      </c>
    </row>
    <row r="38" spans="1:9" x14ac:dyDescent="0.3">
      <c r="A38" t="str">
        <f>A23</f>
        <v>Wholesale</v>
      </c>
      <c r="C38" t="s">
        <v>63</v>
      </c>
      <c r="D38" s="107">
        <f ca="1">IF(LEFT($A$37,5)="blank",0,VLOOKUP($B$2,dist3wholesale,COLUMN(D38),FALSE)*'Input Global'!D20)</f>
        <v>54537</v>
      </c>
      <c r="E38" s="107">
        <f ca="1">IF(LEFT($A$37,5)="blank",0,VLOOKUP($B$2,dist3wholesale,COLUMN(E38),FALSE)*'Input Global'!E20)</f>
        <v>54831</v>
      </c>
      <c r="F38" s="107">
        <f ca="1">IF(LEFT($A$37,5)="blank",0,VLOOKUP($B$2,dist3wholesale,COLUMN(F38),FALSE)*'Input Global'!F20)</f>
        <v>55885.2</v>
      </c>
      <c r="G38" s="107">
        <f ca="1">IF(LEFT($A$37,5)="blank",0,VLOOKUP($B$2,dist3wholesale,COLUMN(G38),FALSE)*'Input Global'!G20)</f>
        <v>52460.526428212346</v>
      </c>
      <c r="H38" s="107">
        <f ca="1">IF(LEFT($A$37,5)="blank",0,VLOOKUP($B$2,dist3wholesale,COLUMN(H38),FALSE)*'Input Global'!H20)</f>
        <v>52987.3965793108</v>
      </c>
    </row>
    <row r="39" spans="1:9" x14ac:dyDescent="0.3">
      <c r="A39" t="str">
        <f t="shared" ref="A39:A49" si="3">A24</f>
        <v>Transmission</v>
      </c>
      <c r="C39" t="s">
        <v>63</v>
      </c>
      <c r="D39" s="107">
        <f>IF(LEFT($A$37,5)="blank",0,'Input General'!D20+(SUMPRODUCT('Input General'!D21:D24,'Input General'!D83:D86)*'Input Global'!D$20))</f>
        <v>8745.7830217251831</v>
      </c>
      <c r="E39" s="107">
        <f>IF(LEFT($A$37,5)="blank",0,'Input General'!E20+(SUMPRODUCT('Input General'!E21:E24,'Input General'!E83:E86)*'Input Global'!E$20))</f>
        <v>8809.520747888615</v>
      </c>
      <c r="F39" s="107">
        <f>IF(LEFT($A$37,5)="blank",0,'Input General'!F20+(SUMPRODUCT('Input General'!F21:F24,'Input General'!F83:F86)*'Input Global'!F$20))</f>
        <v>9954.4943532067391</v>
      </c>
      <c r="G39" s="107">
        <f>IF(LEFT($A$37,5)="blank",0,'Input General'!G20+(SUMPRODUCT('Input General'!G21:G24,'Input General'!G83:G86)*'Input Global'!G$20))</f>
        <v>10647.989153737328</v>
      </c>
      <c r="H39" s="107">
        <f>IF(LEFT($A$37,5)="blank",0,'Input General'!H20+(SUMPRODUCT('Input General'!H21:H24,'Input General'!H83:H86)*'Input Global'!H$20))</f>
        <v>11389.797311159626</v>
      </c>
    </row>
    <row r="40" spans="1:9" x14ac:dyDescent="0.3">
      <c r="A40" t="str">
        <f t="shared" si="3"/>
        <v>Distribution</v>
      </c>
      <c r="C40" t="s">
        <v>63</v>
      </c>
      <c r="D40" s="107">
        <f>IF(LEFT($A$37,5)="blank",0,'Input General'!D40+SUMPRODUCT('Input General'!D41:D44,'Input General'!D83:D86)*'Input Global'!D$20+'Input General'!D49)</f>
        <v>67530.028345028171</v>
      </c>
      <c r="E40" s="107">
        <f>IF(LEFT($A$37,5)="blank",0,'Input General'!E40+SUMPRODUCT('Input General'!E41:E44,'Input General'!E83:E86)*'Input Global'!E$20+'Input General'!E49)</f>
        <v>78929.222741037331</v>
      </c>
      <c r="F40" s="107">
        <f>IF(LEFT($A$37,5)="blank",0,'Input General'!F40+SUMPRODUCT('Input General'!F41:F44,'Input General'!F83:F86)*'Input Global'!F$20+'Input General'!F49)</f>
        <v>56892.195610554503</v>
      </c>
      <c r="G40" s="107">
        <f>IF(LEFT($A$37,5)="blank",0,'Input General'!G40+SUMPRODUCT('Input General'!G41:G44,'Input General'!G83:G86)*'Input Global'!G$20+'Input General'!G49)</f>
        <v>51078.609472204276</v>
      </c>
      <c r="H40" s="107">
        <f>IF(LEFT($A$37,5)="blank",0,'Input General'!H40+SUMPRODUCT('Input General'!H41:H44,'Input General'!H83:H86)*'Input Global'!H$20+'Input General'!H49)</f>
        <v>53202.805149009386</v>
      </c>
    </row>
    <row r="41" spans="1:9" x14ac:dyDescent="0.3">
      <c r="A41" t="str">
        <f t="shared" si="3"/>
        <v>Retail</v>
      </c>
      <c r="C41" t="s">
        <v>63</v>
      </c>
      <c r="D41" s="107">
        <f>IF(LEFT($A$37,5)="blank",0,'Input General'!D98*'Input Global'!D$20)</f>
        <v>7980.0000000000009</v>
      </c>
      <c r="E41" s="107">
        <f>IF(LEFT($A$37,5)="blank",0,'Input General'!E98*'Input Global'!E$20)</f>
        <v>9240</v>
      </c>
      <c r="F41" s="107">
        <f>IF(LEFT($A$37,5)="blank",0,'Input General'!F98*'Input Global'!F$20)</f>
        <v>9686.2499999999982</v>
      </c>
      <c r="G41" s="107">
        <f>IF(LEFT($A$37,5)="blank",0,'Input General'!G98*'Input Global'!G$20)</f>
        <v>9928.4062499999964</v>
      </c>
      <c r="H41" s="107">
        <f>IF(LEFT($A$37,5)="blank",0,'Input General'!H98*'Input Global'!H$20)</f>
        <v>10176.616406249996</v>
      </c>
    </row>
    <row r="42" spans="1:9" x14ac:dyDescent="0.3">
      <c r="A42" t="str">
        <f t="shared" si="3"/>
        <v>Retail and Residual</v>
      </c>
      <c r="C42" t="s">
        <v>63</v>
      </c>
      <c r="D42" s="107">
        <f ca="1">IF(LEFT($A$37,5)="blank",0,VLOOKUP($B$2,'Input General'!$A$155:$H$159,COLUMN(D27),FALSE)*'Input Global'!D$35)</f>
        <v>7677.6882138046822</v>
      </c>
      <c r="E42" s="107">
        <f ca="1">IF(LEFT($A$37,5)="blank",0,VLOOKUP($B$2,'Input General'!$A$155:$H$159,COLUMN(E27),FALSE)*'Input Global'!E$35)</f>
        <v>8664.5364347825889</v>
      </c>
      <c r="F42" s="107">
        <f ca="1">IF(LEFT($A$37,5)="blank",0,VLOOKUP($B$2,'Input General'!$A$155:$H$159,COLUMN(F27),FALSE)*'Input Global'!F$35)</f>
        <v>9839.6715580431064</v>
      </c>
      <c r="G42" s="107">
        <f ca="1">IF(LEFT($A$37,5)="blank",0,VLOOKUP($B$2,'Input General'!$A$155:$H$159,COLUMN(G27),FALSE)*'Input Global'!G$35)</f>
        <v>9632.2480882748496</v>
      </c>
      <c r="H42" s="107">
        <f ca="1">IF(LEFT($A$37,5)="blank",0,VLOOKUP($B$2,'Input General'!$A$155:$H$159,COLUMN(H27),FALSE)*'Input Global'!H$35)</f>
        <v>9848.2408491186889</v>
      </c>
    </row>
    <row r="43" spans="1:9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x14ac:dyDescent="0.3">
      <c r="A44" s="11" t="str">
        <f t="shared" si="3"/>
        <v>Feed-in Tariffs</v>
      </c>
      <c r="C44" t="s">
        <v>63</v>
      </c>
      <c r="D44" s="107">
        <f>IF(LEFT($A$37,5)="blank",0,'Input General'!D65+SUMPRODUCT('Input General'!D66:D69,'Input General'!D83:D86)*'Input Global'!D$20)</f>
        <v>1594.6</v>
      </c>
      <c r="E44" s="107">
        <f>IF(LEFT($A$37,5)="blank",0,'Input General'!E65+SUMPRODUCT('Input General'!E66:E69,'Input General'!E83:E86)*'Input Global'!E$20)</f>
        <v>1605.9599329738458</v>
      </c>
      <c r="F44" s="107">
        <f>IF(LEFT($A$37,5)="blank",0,'Input General'!F65+SUMPRODUCT('Input General'!F66:F69,'Input General'!F83:F86)*'Input Global'!F$20)</f>
        <v>27453.999999999996</v>
      </c>
      <c r="G44" s="107">
        <f>IF(LEFT($A$37,5)="blank",0,'Input General'!G65+SUMPRODUCT('Input General'!G66:G69,'Input General'!G83:G86)*'Input Global'!G$20)</f>
        <v>33889.217599999989</v>
      </c>
      <c r="H44" s="107">
        <f>IF(LEFT($A$37,5)="blank",0,'Input General'!H65+SUMPRODUCT('Input General'!H66:H69,'Input General'!H83:H86)*'Input Global'!H$20)</f>
        <v>33889.217599999989</v>
      </c>
    </row>
    <row r="45" spans="1:9" x14ac:dyDescent="0.3">
      <c r="A45" s="11" t="str">
        <f t="shared" si="3"/>
        <v>Carbon costs</v>
      </c>
      <c r="C45" t="s">
        <v>63</v>
      </c>
      <c r="D45" s="107">
        <f ca="1">IF(LEFT($A$37,5)="blank",0,VLOOKUP($B$2,'Input General'!$A$188:$H$192,COLUMN('Input General'!D188),FALSE)*'Input Global'!D$20)</f>
        <v>0</v>
      </c>
      <c r="E45" s="107">
        <f ca="1">IF(LEFT($A$37,5)="blank",0,VLOOKUP($B$2,'Input General'!$A$188:$H$192,COLUMN('Input General'!E188),FALSE)*'Input Global'!E$20)</f>
        <v>0</v>
      </c>
      <c r="F45" s="107">
        <f ca="1">IF(LEFT($A$37,5)="blank",0,VLOOKUP($B$2,'Input General'!$A$188:$H$192,COLUMN('Input General'!F188),FALSE)*'Input Global'!F$20)</f>
        <v>14097.999999999998</v>
      </c>
      <c r="G45" s="107">
        <f ca="1">IF(LEFT($A$37,5)="blank",0,VLOOKUP($B$2,'Input General'!$A$188:$H$192,COLUMN('Input General'!G188),FALSE)*'Input Global'!G$20)</f>
        <v>15198.529401244265</v>
      </c>
      <c r="H45" s="107">
        <f ca="1">IF(LEFT($A$37,5)="blank",0,VLOOKUP($B$2,'Input General'!$A$188:$H$192,COLUMN('Input General'!H188),FALSE)*'Input Global'!H$20)</f>
        <v>15583.743140403754</v>
      </c>
    </row>
    <row r="46" spans="1:9" x14ac:dyDescent="0.3">
      <c r="A46" s="11" t="str">
        <f t="shared" si="3"/>
        <v>Large Scale Renewable Energy Target</v>
      </c>
      <c r="C46" t="s">
        <v>63</v>
      </c>
      <c r="D46" s="107">
        <f ca="1">IF(LEFT($A$37,5)="blank",0,VLOOKUP($B$2,'Input General'!$A227:$H232,COLUMN(D16),FALSE)*'Input Global'!D20)</f>
        <v>1288</v>
      </c>
      <c r="E46" s="107">
        <f ca="1">IF(LEFT($A$37,5)="blank",0,VLOOKUP($B$2,'Input General'!$A227:$H232,COLUMN(E16),FALSE)*'Input Global'!E20)</f>
        <v>1894.2</v>
      </c>
      <c r="F46" s="107">
        <f ca="1">IF(LEFT($A$37,5)="blank",0,VLOOKUP($B$2,'Input General'!$A227:$H232,COLUMN(F16),FALSE)*'Input Global'!F20)</f>
        <v>3199</v>
      </c>
      <c r="G46" s="107">
        <f ca="1">IF(LEFT($A$37,5)="blank",0,VLOOKUP($B$2,'Input General'!$A227:$H232,COLUMN(G16),FALSE)*'Input Global'!G20)</f>
        <v>3427.9094897763566</v>
      </c>
      <c r="H46" s="107">
        <f ca="1">IF(LEFT($A$37,5)="blank",0,VLOOKUP($B$2,'Input General'!$A227:$H232,COLUMN(H16),FALSE)*'Input Global'!H20)</f>
        <v>3630.0067041986049</v>
      </c>
    </row>
    <row r="47" spans="1:9" x14ac:dyDescent="0.3">
      <c r="A47" s="11" t="str">
        <f t="shared" si="3"/>
        <v>Small Scale Renewable Energy Scheme</v>
      </c>
      <c r="C47" t="s">
        <v>63</v>
      </c>
      <c r="D47" s="107">
        <f ca="1">IF(LEFT($A$37,5)="blank",0,'Input General'!D99*'Input Global'!D$20)</f>
        <v>0</v>
      </c>
      <c r="E47" s="107">
        <f ca="1">IF(LEFT($A$37,5)="blank",0,'Input General'!E99*'Input Global'!E$20)</f>
        <v>4362.3999999999996</v>
      </c>
      <c r="F47" s="107">
        <f ca="1">IF(LEFT($A$37,5)="blank",0,'Input General'!F99*'Input Global'!F$20)</f>
        <v>3961.9999999999995</v>
      </c>
      <c r="G47" s="107">
        <f ca="1">IF(LEFT($A$37,5)="blank",0,'Input General'!G99*'Input Global'!G$20)</f>
        <v>1743.7768025078367</v>
      </c>
      <c r="H47" s="107">
        <f ca="1">IF(LEFT($A$37,5)="blank",0,'Input General'!H99*'Input Global'!H$20)</f>
        <v>1515.2476489028213</v>
      </c>
    </row>
    <row r="48" spans="1:9" x14ac:dyDescent="0.3">
      <c r="A48" s="11" t="str">
        <f t="shared" si="3"/>
        <v>Energy savings</v>
      </c>
      <c r="C48" t="s">
        <v>63</v>
      </c>
      <c r="D48" s="107">
        <f ca="1">IF(LEFT($A$37,5)="blank",0,VLOOKUP($B$2,'Input General'!$A$115:$H$119,COLUMN(D33),FALSE)*'Input Global'!D$20)</f>
        <v>503.99999999999994</v>
      </c>
      <c r="E48" s="107">
        <f ca="1">IF(LEFT($A$37,5)="blank",0,VLOOKUP($B$2,'Input General'!$A$115:$H$119,COLUMN(E33),FALSE)*'Input Global'!E$20)</f>
        <v>782.07500000000005</v>
      </c>
      <c r="F48" s="107">
        <f ca="1">IF(LEFT($A$37,5)="blank",0,VLOOKUP($B$2,'Input General'!$A$115:$H$119,COLUMN(F33),FALSE)*'Input Global'!F$20)</f>
        <v>1085</v>
      </c>
      <c r="G48" s="107">
        <f ca="1">IF(LEFT($A$37,5)="blank",0,VLOOKUP($B$2,'Input General'!$A$115:$H$119,COLUMN(G33),FALSE)*'Input Global'!G$20)</f>
        <v>0</v>
      </c>
      <c r="H48" s="107">
        <f ca="1">IF(LEFT($A$37,5)="blank",0,VLOOKUP($B$2,'Input General'!$A$115:$H$119,COLUMN(H33),FALSE)*'Input Global'!H$20)</f>
        <v>0</v>
      </c>
    </row>
    <row r="49" spans="1:8" x14ac:dyDescent="0.3">
      <c r="A49" t="str">
        <f t="shared" si="3"/>
        <v>Blank</v>
      </c>
      <c r="C49" t="s">
        <v>63</v>
      </c>
      <c r="D49" s="107">
        <f ca="1">IF(LEFT($A$37,5)="blank",0,VLOOKUP($B$2,'Input General'!$A$135:$H$139,COLUMN(D49),FALSE)*'Input Global'!D$20)</f>
        <v>0</v>
      </c>
      <c r="E49" s="107">
        <f ca="1">IF(LEFT($A$37,5)="blank",0,VLOOKUP($B$2,'Input General'!$A$135:$H$139,COLUMN(E49),FALSE)*'Input Global'!E$20)</f>
        <v>0</v>
      </c>
      <c r="F49" s="107">
        <f ca="1">IF(LEFT($A$37,5)="blank",0,VLOOKUP($B$2,'Input General'!$A$135:$H$139,COLUMN(F49),FALSE)*'Input Global'!F$20)</f>
        <v>0</v>
      </c>
      <c r="G49" s="107">
        <f ca="1">IF(LEFT($A$37,5)="blank",0,VLOOKUP($B$2,'Input General'!$A$135:$H$139,COLUMN(G49),FALSE)*'Input Global'!G$20)</f>
        <v>0</v>
      </c>
      <c r="H49" s="107">
        <f ca="1">IF(LEFT($A$37,5)="blank",0,VLOOKUP($B$2,'Input General'!$A$135:$H$139,COLUMN(H49),FALSE)*'Input Global'!H$20)</f>
        <v>0</v>
      </c>
    </row>
    <row r="50" spans="1:8" x14ac:dyDescent="0.3">
      <c r="A50" s="12" t="s">
        <v>61</v>
      </c>
      <c r="B50" s="12"/>
      <c r="C50" s="12" t="s">
        <v>63</v>
      </c>
      <c r="D50" s="107">
        <f ca="1">SUM(D38:D49)</f>
        <v>149857.09958055805</v>
      </c>
      <c r="E50" s="107">
        <f t="shared" ref="E50:H50" ca="1" si="4">SUM(E38:E49)</f>
        <v>169118.91485668239</v>
      </c>
      <c r="F50" s="107">
        <f t="shared" ca="1" si="4"/>
        <v>192055.81152180434</v>
      </c>
      <c r="G50" s="107">
        <f t="shared" ca="1" si="4"/>
        <v>188007.21268595726</v>
      </c>
      <c r="H50" s="107">
        <f t="shared" ca="1" si="4"/>
        <v>192223.07138835365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63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63</v>
      </c>
      <c r="D54" s="107">
        <f>IF(LEFT($A$52,5)="blank",0,'Input General'!#REF!+(SUMPRODUCT('Input General'!#REF!,'Input General'!#REF!)*'Input Global'!D$21))</f>
        <v>0</v>
      </c>
      <c r="E54" s="107">
        <f>IF(LEFT($A$52,5)="blank",0,'Input General'!#REF!+(SUMPRODUCT('Input General'!#REF!,'Input General'!#REF!)*'Input Global'!E$21))</f>
        <v>0</v>
      </c>
      <c r="F54" s="107">
        <f>IF(LEFT($A$52,5)="blank",0,'Input General'!#REF!+(SUMPRODUCT('Input General'!#REF!,'Input General'!#REF!)*'Input Global'!F$21))</f>
        <v>0</v>
      </c>
      <c r="G54" s="107">
        <f>IF(LEFT($A$52,5)="blank",0,'Input General'!#REF!+(SUMPRODUCT('Input General'!#REF!,'Input General'!#REF!)*'Input Global'!G$21))</f>
        <v>0</v>
      </c>
      <c r="H54" s="107">
        <f>IF(LEFT($A$52,5)="blank",0,'Input General'!#REF!+(SUMPRODUCT('Input General'!#REF!,'Input General'!#REF!)*'Input Global'!H$21))</f>
        <v>0</v>
      </c>
    </row>
    <row r="55" spans="1:8" hidden="1" x14ac:dyDescent="0.3">
      <c r="A55" t="str">
        <f t="shared" si="5"/>
        <v>Distribution</v>
      </c>
      <c r="C55" t="s">
        <v>63</v>
      </c>
      <c r="D55" s="107">
        <f>IF(LEFT($A$52,5)="blank",0,'Input General'!#REF!+SUMPRODUCT('Input General'!#REF!,'Input General'!#REF!)*'Input Global'!D$21+'Input General'!#REF!)</f>
        <v>0</v>
      </c>
      <c r="E55" s="107">
        <f>IF(LEFT($A$52,5)="blank",0,'Input General'!#REF!+SUMPRODUCT('Input General'!#REF!,'Input General'!#REF!)*'Input Global'!E$21+'Input General'!#REF!)</f>
        <v>0</v>
      </c>
      <c r="F55" s="107">
        <f>IF(LEFT($A$52,5)="blank",0,'Input General'!#REF!+SUMPRODUCT('Input General'!#REF!,'Input General'!#REF!)*'Input Global'!F$21+'Input General'!#REF!)</f>
        <v>0</v>
      </c>
      <c r="G55" s="107">
        <f>IF(LEFT($A$52,5)="blank",0,'Input General'!#REF!+SUMPRODUCT('Input General'!#REF!,'Input General'!#REF!)*'Input Global'!G$21+'Input General'!#REF!)</f>
        <v>0</v>
      </c>
      <c r="H55" s="107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t="str">
        <f t="shared" si="5"/>
        <v>Retail</v>
      </c>
      <c r="C56" t="s">
        <v>63</v>
      </c>
      <c r="D56" s="107">
        <f>IF(LEFT($A$52,5)="blank",0,'Input General'!#REF!*'Input Global'!D$21)</f>
        <v>0</v>
      </c>
      <c r="E56" s="107">
        <f>IF(LEFT($A$52,5)="blank",0,'Input General'!#REF!*'Input Global'!E$21)</f>
        <v>0</v>
      </c>
      <c r="F56" s="107">
        <f>IF(LEFT($A$52,5)="blank",0,'Input General'!#REF!*'Input Global'!F$21)</f>
        <v>0</v>
      </c>
      <c r="G56" s="107">
        <f>IF(LEFT($A$52,5)="blank",0,'Input General'!#REF!*'Input Global'!G$21)</f>
        <v>0</v>
      </c>
      <c r="H56" s="107">
        <f>IF(LEFT($A$52,5)="blank",0,'Input General'!#REF!*'Input Global'!H$21)</f>
        <v>0</v>
      </c>
    </row>
    <row r="57" spans="1:8" hidden="1" x14ac:dyDescent="0.3">
      <c r="A57" t="str">
        <f t="shared" si="5"/>
        <v>Retail and Residual</v>
      </c>
      <c r="C57" t="s">
        <v>63</v>
      </c>
      <c r="D57" s="107">
        <f>IF(LEFT($A$52,5)="blank",0,VLOOKUP($B$2,'Input General'!$A$161:$H$165,COLUMN(D57),FALSE)*'Input Global'!D$36)</f>
        <v>0</v>
      </c>
      <c r="E57" s="107">
        <f>IF(LEFT($A$52,5)="blank",0,VLOOKUP($B$2,'Input General'!$A$161:$H$165,COLUMN(E57),FALSE)*'Input Global'!E$36)</f>
        <v>0</v>
      </c>
      <c r="F57" s="107">
        <f>IF(LEFT($A$52,5)="blank",0,VLOOKUP($B$2,'Input General'!$A$161:$H$165,COLUMN(F57),FALSE)*'Input Global'!F$36)</f>
        <v>0</v>
      </c>
      <c r="G57" s="107">
        <f>IF(LEFT($A$52,5)="blank",0,VLOOKUP($B$2,'Input General'!$A$161:$H$165,COLUMN(G57),FALSE)*'Input Global'!G$36)</f>
        <v>0</v>
      </c>
      <c r="H57" s="107">
        <f>IF(LEFT($A$52,5)="blank",0,VLOOKUP($B$2,'Input General'!$A$161:$H$165,COLUMN(H57),FALSE)*'Input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63</v>
      </c>
      <c r="D59" s="107">
        <f>IF(LEFT($A$52,5)="blank",0,'Input General'!#REF!+SUMPRODUCT('Input General'!#REF!,'Input General'!#REF!)*'Input Global'!D$21)</f>
        <v>0</v>
      </c>
      <c r="E59" s="107">
        <f>IF(LEFT($A$52,5)="blank",0,'Input General'!#REF!+SUMPRODUCT('Input General'!#REF!,'Input General'!#REF!)*'Input Global'!E$21)</f>
        <v>0</v>
      </c>
      <c r="F59" s="107">
        <f>IF(LEFT($A$52,5)="blank",0,'Input General'!#REF!+SUMPRODUCT('Input General'!#REF!,'Input General'!#REF!)*'Input Global'!F$21)</f>
        <v>0</v>
      </c>
      <c r="G59" s="107">
        <f>IF(LEFT($A$52,5)="blank",0,'Input General'!#REF!+SUMPRODUCT('Input General'!#REF!,'Input General'!#REF!)*'Input Global'!G$21)</f>
        <v>0</v>
      </c>
      <c r="H59" s="107">
        <f>IF(LEFT($A$52,5)="blank",0,'Input General'!#REF!+SUMPRODUCT('Input General'!#REF!,'Input General'!#REF!)*'Input Global'!H$21)</f>
        <v>0</v>
      </c>
    </row>
    <row r="60" spans="1:8" hidden="1" x14ac:dyDescent="0.3">
      <c r="A60" s="11" t="str">
        <f t="shared" si="5"/>
        <v>Carbon costs</v>
      </c>
      <c r="C60" t="s">
        <v>63</v>
      </c>
      <c r="D60" s="107">
        <f>IF(LEFT($A$52,5)="blank",0,VLOOKUP($B$2,'Input General'!#REF!,COLUMN(D60),FALSE)*'Input Global'!D$21)</f>
        <v>0</v>
      </c>
      <c r="E60" s="107">
        <f>IF(LEFT($A$52,5)="blank",0,VLOOKUP($B$2,'Input General'!#REF!,COLUMN(E60),FALSE)*'Input Global'!E$21)</f>
        <v>0</v>
      </c>
      <c r="F60" s="107">
        <f>IF(LEFT($A$52,5)="blank",0,VLOOKUP($B$2,'Input General'!#REF!,COLUMN(F60),FALSE)*'Input Global'!F$21)</f>
        <v>0</v>
      </c>
      <c r="G60" s="107">
        <f>IF(LEFT($A$52,5)="blank",0,VLOOKUP($B$2,'Input General'!#REF!,COLUMN(G60),FALSE)*'Input Global'!G$21)</f>
        <v>0</v>
      </c>
      <c r="H60" s="107">
        <f>IF(LEFT($A$52,5)="blank",0,VLOOKUP($B$2,'Input General'!#REF!,COLUMN(H60),FALSE)*'Input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63</v>
      </c>
      <c r="D61" s="107">
        <f>IF(LEFT($A$52,5)="blank",0,VLOOKUP($B$2,'Input General'!#REF!,COLUMN(D61),FALSE)*'Input Global'!D21)</f>
        <v>0</v>
      </c>
      <c r="E61" s="107">
        <f>IF(LEFT($A$52,5)="blank",0,VLOOKUP($B$2,'Input General'!#REF!,COLUMN(E61),FALSE)*'Input Global'!E21)</f>
        <v>0</v>
      </c>
      <c r="F61" s="107">
        <f>IF(LEFT($A$52,5)="blank",0,VLOOKUP($B$2,'Input General'!#REF!,COLUMN(F61),FALSE)*'Input Global'!F21)</f>
        <v>0</v>
      </c>
      <c r="G61" s="107">
        <f>IF(LEFT($A$52,5)="blank",0,VLOOKUP($B$2,'Input General'!#REF!,COLUMN(G61),FALSE)*'Input Global'!G21)</f>
        <v>0</v>
      </c>
      <c r="H61" s="107">
        <f>IF(LEFT($A$52,5)="blank",0,VLOOKUP($B$2,'Input General'!#REF!,COLUMN(H61),FALSE)*'Input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63</v>
      </c>
      <c r="D62" s="107">
        <f>IF(LEFT($A$52,5)="blank",0,'Input General'!#REF!*'Input Global'!D$21)</f>
        <v>0</v>
      </c>
      <c r="E62" s="107">
        <f>IF(LEFT($A$52,5)="blank",0,'Input General'!#REF!*'Input Global'!E$21)</f>
        <v>0</v>
      </c>
      <c r="F62" s="107">
        <f>IF(LEFT($A$52,5)="blank",0,'Input General'!#REF!*'Input Global'!F$21)</f>
        <v>0</v>
      </c>
      <c r="G62" s="107">
        <f>IF(LEFT($A$52,5)="blank",0,'Input General'!#REF!*'Input Global'!G$21)</f>
        <v>0</v>
      </c>
      <c r="H62" s="107">
        <f>IF(LEFT($A$52,5)="blank",0,'Input General'!#REF!*'Input Global'!H$21)</f>
        <v>0</v>
      </c>
    </row>
    <row r="63" spans="1:8" hidden="1" x14ac:dyDescent="0.3">
      <c r="A63" s="11" t="str">
        <f t="shared" si="5"/>
        <v>Energy savings</v>
      </c>
      <c r="C63" t="s">
        <v>63</v>
      </c>
      <c r="D63" s="107">
        <f>IF(LEFT($A$52,5)="blank",0,VLOOKUP($B$2,'Input General'!#REF!,COLUMN(D48),FALSE)*'Input Global'!D$21)</f>
        <v>0</v>
      </c>
      <c r="E63" s="107">
        <f>IF(LEFT($A$52,5)="blank",0,VLOOKUP($B$2,'Input General'!#REF!,COLUMN(E48),FALSE)*'Input Global'!E$21)</f>
        <v>0</v>
      </c>
      <c r="F63" s="107">
        <f>IF(LEFT($A$52,5)="blank",0,VLOOKUP($B$2,'Input General'!#REF!,COLUMN(F48),FALSE)*'Input Global'!F$21)</f>
        <v>0</v>
      </c>
      <c r="G63" s="107">
        <f>IF(LEFT($A$52,5)="blank",0,VLOOKUP($B$2,'Input General'!#REF!,COLUMN(G48),FALSE)*'Input Global'!G$21)</f>
        <v>0</v>
      </c>
      <c r="H63" s="107">
        <f>IF(LEFT($A$52,5)="blank",0,VLOOKUP($B$2,'Input General'!#REF!,COLUMN(H48),FALSE)*'Input Global'!H$21)</f>
        <v>0</v>
      </c>
    </row>
    <row r="64" spans="1:8" hidden="1" x14ac:dyDescent="0.3">
      <c r="A64" s="11" t="str">
        <f t="shared" si="5"/>
        <v>Blank</v>
      </c>
      <c r="C64" t="s">
        <v>63</v>
      </c>
      <c r="D64" s="107">
        <f>IF(LEFT($A$52,5)="blank",0,VLOOKUP($B$2,'Input General'!#REF!,COLUMN(D64),FALSE)*'Input Global'!D$21)</f>
        <v>0</v>
      </c>
      <c r="E64" s="107">
        <f>IF(LEFT($A$52,5)="blank",0,VLOOKUP($B$2,'Input General'!#REF!,COLUMN(E64),FALSE)*'Input Global'!E$21)</f>
        <v>0</v>
      </c>
      <c r="F64" s="107">
        <f>IF(LEFT($A$52,5)="blank",0,VLOOKUP($B$2,'Input General'!#REF!,COLUMN(F64),FALSE)*'Input Global'!F$21)</f>
        <v>0</v>
      </c>
      <c r="G64" s="107">
        <f>IF(LEFT($A$52,5)="blank",0,VLOOKUP($B$2,'Input General'!#REF!,COLUMN(G64),FALSE)*'Input Global'!G$21)</f>
        <v>0</v>
      </c>
      <c r="H64" s="107">
        <f>IF(LEFT($A$52,5)="blank",0,VLOOKUP($B$2,'Input General'!#REF!,COLUMN(H64),FALSE)*'Input Global'!H$21)</f>
        <v>0</v>
      </c>
    </row>
    <row r="65" spans="1:8" hidden="1" x14ac:dyDescent="0.3">
      <c r="A65" s="12" t="s">
        <v>61</v>
      </c>
      <c r="B65" s="12"/>
      <c r="C65" s="12" t="s">
        <v>63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63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63</v>
      </c>
      <c r="D69" s="107">
        <f>IF(LEFT($A$67,5)="blank",0,'Input General'!#REF!+(SUMPRODUCT('Input General'!#REF!,'Input General'!#REF!)*'Input Global'!D$22))</f>
        <v>0</v>
      </c>
      <c r="E69" s="107">
        <f>IF(LEFT($A$67,5)="blank",0,'Input General'!#REF!+(SUMPRODUCT('Input General'!#REF!,'Input General'!#REF!)*'Input Global'!E$22))</f>
        <v>0</v>
      </c>
      <c r="F69" s="107">
        <f>IF(LEFT($A$67,5)="blank",0,'Input General'!#REF!+(SUMPRODUCT('Input General'!#REF!,'Input General'!#REF!)*'Input Global'!F$22))</f>
        <v>0</v>
      </c>
      <c r="G69" s="107">
        <f>IF(LEFT($A$67,5)="blank",0,'Input General'!#REF!+(SUMPRODUCT('Input General'!#REF!,'Input General'!#REF!)*'Input Global'!G$22))</f>
        <v>0</v>
      </c>
      <c r="H69" s="107">
        <f>IF(LEFT($A$67,5)="blank",0,'Input General'!#REF!+(SUMPRODUCT('Input General'!#REF!,'Input General'!#REF!)*'Input Global'!H$22))</f>
        <v>0</v>
      </c>
    </row>
    <row r="70" spans="1:8" hidden="1" x14ac:dyDescent="0.3">
      <c r="A70" t="str">
        <f t="shared" si="7"/>
        <v>Distribution</v>
      </c>
      <c r="C70" t="s">
        <v>63</v>
      </c>
      <c r="D70" s="107">
        <f>IF(LEFT($A$67,5)="blank",0,'Input General'!#REF!+SUMPRODUCT('Input General'!#REF!,'Input General'!#REF!)*'Input Global'!D$22+'Input General'!#REF!)</f>
        <v>0</v>
      </c>
      <c r="E70" s="107">
        <f>IF(LEFT($A$67,5)="blank",0,'Input General'!#REF!+SUMPRODUCT('Input General'!#REF!,'Input General'!#REF!)*'Input Global'!E$22+'Input General'!#REF!)</f>
        <v>0</v>
      </c>
      <c r="F70" s="107">
        <f>IF(LEFT($A$67,5)="blank",0,'Input General'!#REF!+SUMPRODUCT('Input General'!#REF!,'Input General'!#REF!)*'Input Global'!F$22+'Input General'!#REF!)</f>
        <v>0</v>
      </c>
      <c r="G70" s="107">
        <f>IF(LEFT($A$67,5)="blank",0,'Input General'!#REF!+SUMPRODUCT('Input General'!#REF!,'Input General'!#REF!)*'Input Global'!G$22+'Input General'!#REF!)</f>
        <v>0</v>
      </c>
      <c r="H70" s="107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t="str">
        <f t="shared" si="7"/>
        <v>Retail</v>
      </c>
      <c r="C71" t="s">
        <v>63</v>
      </c>
      <c r="D71" s="107">
        <f>IF(LEFT($A$67,5)="blank",0,'Input General'!#REF!*'Input Global'!D$22)</f>
        <v>0</v>
      </c>
      <c r="E71" s="107">
        <f>IF(LEFT($A$67,5)="blank",0,'Input General'!#REF!*'Input Global'!E$22)</f>
        <v>0</v>
      </c>
      <c r="F71" s="107">
        <f>IF(LEFT($A$67,5)="blank",0,'Input General'!#REF!*'Input Global'!F$22)</f>
        <v>0</v>
      </c>
      <c r="G71" s="107">
        <f>IF(LEFT($A$67,5)="blank",0,'Input General'!#REF!*'Input Global'!G$22)</f>
        <v>0</v>
      </c>
      <c r="H71" s="107">
        <f>IF(LEFT($A$67,5)="blank",0,'Input General'!#REF!*'Input Global'!H$22)</f>
        <v>0</v>
      </c>
    </row>
    <row r="72" spans="1:8" hidden="1" x14ac:dyDescent="0.3">
      <c r="A72" t="str">
        <f t="shared" si="7"/>
        <v>Retail and Residual</v>
      </c>
      <c r="C72" t="s">
        <v>63</v>
      </c>
      <c r="D72" s="107">
        <f>IF(LEFT($A$67,5)="blank",0,VLOOKUP($B$2,'Input General'!$A$167:$H$171,COLUMN(D72),FALSE)*'Input Global'!D$37)</f>
        <v>0</v>
      </c>
      <c r="E72" s="107">
        <f>IF(LEFT($A$67,5)="blank",0,VLOOKUP($B$2,'Input General'!$A$167:$H$171,COLUMN(E72),FALSE)*'Input Global'!E$37)</f>
        <v>0</v>
      </c>
      <c r="F72" s="107">
        <f>IF(LEFT($A$67,5)="blank",0,VLOOKUP($B$2,'Input General'!$A$167:$H$171,COLUMN(F72),FALSE)*'Input Global'!F$37)</f>
        <v>0</v>
      </c>
      <c r="G72" s="107">
        <f>IF(LEFT($A$67,5)="blank",0,VLOOKUP($B$2,'Input General'!$A$167:$H$171,COLUMN(G72),FALSE)*'Input Global'!G$37)</f>
        <v>0</v>
      </c>
      <c r="H72" s="107">
        <f>IF(LEFT($A$67,5)="blank",0,VLOOKUP($B$2,'Input General'!$A$167:$H$171,COLUMN(H72),FALSE)*'Input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63</v>
      </c>
      <c r="D74" s="107">
        <f>IF(LEFT($A$67,5)="blank",0,'Input General'!#REF!+SUMPRODUCT('Input General'!#REF!,'Input General'!#REF!)*'Input Global'!D$22)</f>
        <v>0</v>
      </c>
      <c r="E74" s="107">
        <f>IF(LEFT($A$67,5)="blank",0,'Input General'!#REF!+SUMPRODUCT('Input General'!#REF!,'Input General'!#REF!)*'Input Global'!E$22)</f>
        <v>0</v>
      </c>
      <c r="F74" s="107">
        <f>IF(LEFT($A$67,5)="blank",0,'Input General'!#REF!+SUMPRODUCT('Input General'!#REF!,'Input General'!#REF!)*'Input Global'!F$22)</f>
        <v>0</v>
      </c>
      <c r="G74" s="107">
        <f>IF(LEFT($A$67,5)="blank",0,'Input General'!#REF!+SUMPRODUCT('Input General'!#REF!,'Input General'!#REF!)*'Input Global'!G$22)</f>
        <v>0</v>
      </c>
      <c r="H74" s="107">
        <f>IF(LEFT($A$67,5)="blank",0,'Input General'!#REF!+SUMPRODUCT('Input General'!#REF!,'Input General'!#REF!)*'Input Global'!H$22)</f>
        <v>0</v>
      </c>
    </row>
    <row r="75" spans="1:8" hidden="1" x14ac:dyDescent="0.3">
      <c r="A75" s="11" t="str">
        <f t="shared" si="7"/>
        <v>Carbon costs</v>
      </c>
      <c r="C75" t="s">
        <v>63</v>
      </c>
      <c r="D75" s="107">
        <f>IF(LEFT($A$67,5)="blank",0,VLOOKUP($B$2,'Input General'!#REF!,COLUMN(D75),FALSE)*'Input Global'!D$22)</f>
        <v>0</v>
      </c>
      <c r="E75" s="107">
        <f>IF(LEFT($A$67,5)="blank",0,VLOOKUP($B$2,'Input General'!#REF!,COLUMN(E75),FALSE)*'Input Global'!E$22)</f>
        <v>0</v>
      </c>
      <c r="F75" s="107">
        <f>IF(LEFT($A$67,5)="blank",0,VLOOKUP($B$2,'Input General'!#REF!,COLUMN(F75),FALSE)*'Input Global'!F$22)</f>
        <v>0</v>
      </c>
      <c r="G75" s="107">
        <f>IF(LEFT($A$67,5)="blank",0,VLOOKUP($B$2,'Input General'!#REF!,COLUMN(G75),FALSE)*'Input Global'!G$22)</f>
        <v>0</v>
      </c>
      <c r="H75" s="107">
        <f>IF(LEFT($A$67,5)="blank",0,VLOOKUP($B$2,'Input General'!#REF!,COLUMN(H75),FALSE)*'Input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63</v>
      </c>
      <c r="D76" s="107">
        <f>IF(LEFT($A$67,5)="blank",0,VLOOKUP($B$2,'Input General'!#REF!,COLUMN(D76),FALSE)*'Input Global'!D22)</f>
        <v>0</v>
      </c>
      <c r="E76" s="107">
        <f>IF(LEFT($A$67,5)="blank",0,VLOOKUP($B$2,'Input General'!#REF!,COLUMN(E76),FALSE)*'Input Global'!E22)</f>
        <v>0</v>
      </c>
      <c r="F76" s="107">
        <f>IF(LEFT($A$67,5)="blank",0,VLOOKUP($B$2,'Input General'!#REF!,COLUMN(F76),FALSE)*'Input Global'!F22)</f>
        <v>0</v>
      </c>
      <c r="G76" s="107">
        <f>IF(LEFT($A$67,5)="blank",0,VLOOKUP($B$2,'Input General'!#REF!,COLUMN(G76),FALSE)*'Input Global'!G22)</f>
        <v>0</v>
      </c>
      <c r="H76" s="107">
        <f>IF(LEFT($A$67,5)="blank",0,VLOOKUP($B$2,'Input General'!#REF!,COLUMN(H76),FALSE)*'Input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63</v>
      </c>
      <c r="D77" s="107">
        <f>IF(LEFT($A$67,5)="blank",0,'Input General'!#REF!*'Input Global'!D$22)</f>
        <v>0</v>
      </c>
      <c r="E77" s="107">
        <f>IF(LEFT($A$67,5)="blank",0,'Input General'!#REF!*'Input Global'!E$22)</f>
        <v>0</v>
      </c>
      <c r="F77" s="107">
        <f>IF(LEFT($A$67,5)="blank",0,'Input General'!#REF!*'Input Global'!F$22)</f>
        <v>0</v>
      </c>
      <c r="G77" s="107">
        <f>IF(LEFT($A$67,5)="blank",0,'Input General'!#REF!*'Input Global'!G$22)</f>
        <v>0</v>
      </c>
      <c r="H77" s="107">
        <f>IF(LEFT($A$67,5)="blank",0,'Input General'!#REF!*'Input Global'!H$22)</f>
        <v>0</v>
      </c>
    </row>
    <row r="78" spans="1:8" hidden="1" x14ac:dyDescent="0.3">
      <c r="A78" s="11" t="str">
        <f t="shared" si="7"/>
        <v>Energy savings</v>
      </c>
      <c r="C78" t="s">
        <v>63</v>
      </c>
      <c r="D78" s="107">
        <f>IF(LEFT($A$67,5)="blank",0,VLOOKUP($B$2,'Input General'!#REF!,COLUMN(D78),FALSE)*'Input Global'!D$22)</f>
        <v>0</v>
      </c>
      <c r="E78" s="107">
        <f>IF(LEFT($A$67,5)="blank",0,VLOOKUP($B$2,'Input General'!#REF!,COLUMN(E78),FALSE)*'Input Global'!E$22)</f>
        <v>0</v>
      </c>
      <c r="F78" s="107">
        <f>IF(LEFT($A$67,5)="blank",0,VLOOKUP($B$2,'Input General'!#REF!,COLUMN(F78),FALSE)*'Input Global'!F$22)</f>
        <v>0</v>
      </c>
      <c r="G78" s="107">
        <f>IF(LEFT($A$67,5)="blank",0,VLOOKUP($B$2,'Input General'!#REF!,COLUMN(G78),FALSE)*'Input Global'!G$22)</f>
        <v>0</v>
      </c>
      <c r="H78" s="107">
        <f>IF(LEFT($A$67,5)="blank",0,VLOOKUP($B$2,'Input General'!#REF!,COLUMN(H78),FALSE)*'Input Global'!H$22)</f>
        <v>0</v>
      </c>
    </row>
    <row r="79" spans="1:8" hidden="1" x14ac:dyDescent="0.3">
      <c r="A79" s="11" t="str">
        <f t="shared" si="7"/>
        <v>Blank</v>
      </c>
      <c r="C79" t="s">
        <v>63</v>
      </c>
      <c r="D79" s="107">
        <f>IF(LEFT($A$67,5)="blank",0,VLOOKUP($B$2,'Input General'!#REF!,COLUMN(D79),FALSE)*'Input Global'!D$22)</f>
        <v>0</v>
      </c>
      <c r="E79" s="107">
        <f>IF(LEFT($A$67,5)="blank",0,VLOOKUP($B$2,'Input General'!#REF!,COLUMN(E79),FALSE)*'Input Global'!E$22)</f>
        <v>0</v>
      </c>
      <c r="F79" s="107">
        <f>IF(LEFT($A$67,5)="blank",0,VLOOKUP($B$2,'Input General'!#REF!,COLUMN(F79),FALSE)*'Input Global'!F$22)</f>
        <v>0</v>
      </c>
      <c r="G79" s="107">
        <f>IF(LEFT($A$67,5)="blank",0,VLOOKUP($B$2,'Input General'!#REF!,COLUMN(G79),FALSE)*'Input Global'!G$22)</f>
        <v>0</v>
      </c>
      <c r="H79" s="107">
        <f>IF(LEFT($A$67,5)="blank",0,VLOOKUP($B$2,'Input General'!#REF!,COLUMN(H79),FALSE)*'Input Global'!H$22)</f>
        <v>0</v>
      </c>
    </row>
    <row r="80" spans="1:8" hidden="1" x14ac:dyDescent="0.3">
      <c r="A80" s="12" t="s">
        <v>61</v>
      </c>
      <c r="B80" s="12"/>
      <c r="C80" s="12" t="s">
        <v>63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62</v>
      </c>
      <c r="B82" s="1" t="s">
        <v>48</v>
      </c>
      <c r="D82" s="103"/>
      <c r="E82" s="103"/>
      <c r="F82" s="103"/>
      <c r="G82" s="103"/>
      <c r="H82" s="103"/>
    </row>
    <row r="84" spans="1:8" x14ac:dyDescent="0.3">
      <c r="A84" s="8" t="str">
        <f>Dist1</f>
        <v xml:space="preserve">Ausgrid </v>
      </c>
    </row>
    <row r="85" spans="1:8" x14ac:dyDescent="0.3">
      <c r="A85" t="str">
        <f t="shared" ref="A85:A96" si="9">A68</f>
        <v>Wholesale</v>
      </c>
      <c r="C85" t="s">
        <v>17</v>
      </c>
      <c r="D85" s="107">
        <f ca="1">IF(LEFT($A$84,5)="blank",0,D8/'Input Global'!D$18)</f>
        <v>7.44</v>
      </c>
      <c r="E85" s="107">
        <f ca="1">IF(LEFT($A$84,5)="blank",0,E8/'Input Global'!E$18)</f>
        <v>7.3639999999999999</v>
      </c>
      <c r="F85" s="107">
        <f ca="1">IF(LEFT($A$84,5)="blank",0,F8/'Input Global'!F$18)</f>
        <v>7.4432486500000001</v>
      </c>
      <c r="G85" s="107">
        <f ca="1">IF(LEFT($A$84,5)="blank",0,G8/'Input Global'!G$18)</f>
        <v>7.0767784744459004</v>
      </c>
      <c r="H85" s="107">
        <f ca="1">IF(LEFT($A$84,5)="blank",0,H8/'Input Global'!H$18)</f>
        <v>7.1462621944657396</v>
      </c>
    </row>
    <row r="86" spans="1:8" x14ac:dyDescent="0.3">
      <c r="A86" t="str">
        <f t="shared" si="9"/>
        <v>Transmission</v>
      </c>
      <c r="C86" t="s">
        <v>17</v>
      </c>
      <c r="D86" s="107">
        <f>IF(LEFT($A$84,5)="blank",0,D9/'Input Global'!D$18)</f>
        <v>1.9490566651938903</v>
      </c>
      <c r="E86" s="107">
        <f>IF(LEFT($A$84,5)="blank",0,E9/'Input Global'!E$18)</f>
        <v>2.4407873031375846</v>
      </c>
      <c r="F86" s="107">
        <f>IF(LEFT($A$84,5)="blank",0,F9/'Input Global'!F$18)</f>
        <v>4.9359206103405233</v>
      </c>
      <c r="G86" s="107">
        <f>IF(LEFT($A$84,5)="blank",0,G9/'Input Global'!G$18)</f>
        <v>5.2797889332955936</v>
      </c>
      <c r="H86" s="107">
        <f>IF(LEFT($A$84,5)="blank",0,H9/'Input Global'!H$18)</f>
        <v>5.6476133594513964</v>
      </c>
    </row>
    <row r="87" spans="1:8" x14ac:dyDescent="0.3">
      <c r="A87" t="str">
        <f t="shared" si="9"/>
        <v>Distribution</v>
      </c>
      <c r="C87" t="s">
        <v>17</v>
      </c>
      <c r="D87" s="107">
        <f>IF(LEFT($A$84,5)="blank",0,D10/'Input Global'!D$18)</f>
        <v>8.898119164043699</v>
      </c>
      <c r="E87" s="107">
        <f>IF(LEFT($A$84,5)="blank",0,E10/'Input Global'!E$18)</f>
        <v>10.624721457519319</v>
      </c>
      <c r="F87" s="107">
        <f>IF(LEFT($A$84,5)="blank",0,F10/'Input Global'!F$18)</f>
        <v>10.573975353139822</v>
      </c>
      <c r="G87" s="107">
        <f>IF(LEFT($A$84,5)="blank",0,G10/'Input Global'!G$18)</f>
        <v>10.669627526073251</v>
      </c>
      <c r="H87" s="107">
        <f>IF(LEFT($A$84,5)="blank",0,H10/'Input Global'!H$18)</f>
        <v>10.948474345488579</v>
      </c>
    </row>
    <row r="88" spans="1:8" x14ac:dyDescent="0.3">
      <c r="A88" t="str">
        <f t="shared" si="9"/>
        <v>Retail</v>
      </c>
      <c r="C88" t="s">
        <v>17</v>
      </c>
      <c r="D88" s="107">
        <f>IF(LEFT($A$84,5)="blank",0,D11/'Input Global'!D$18)</f>
        <v>1.41</v>
      </c>
      <c r="E88" s="107">
        <f>IF(LEFT($A$84,5)="blank",0,E11/'Input Global'!E$18)</f>
        <v>1.41</v>
      </c>
      <c r="F88" s="107">
        <f>IF(LEFT($A$84,5)="blank",0,F11/'Input Global'!F$18)</f>
        <v>1.476</v>
      </c>
      <c r="G88" s="107">
        <f>IF(LEFT($A$84,5)="blank",0,G11/'Input Global'!G$18)</f>
        <v>1.5128999999999999</v>
      </c>
      <c r="H88" s="107">
        <f>IF(LEFT($A$84,5)="blank",0,H11/'Input Global'!H$18)</f>
        <v>1.5507224999999996</v>
      </c>
    </row>
    <row r="89" spans="1:8" x14ac:dyDescent="0.3">
      <c r="A89" t="str">
        <f t="shared" si="9"/>
        <v>Retail and Residual</v>
      </c>
      <c r="C89" t="s">
        <v>17</v>
      </c>
      <c r="D89" s="107">
        <f ca="1">IF(LEFT($A$84,5)="blank",0,D12/'Input Global'!D$18)</f>
        <v>1.0870294947788297</v>
      </c>
      <c r="E89" s="107">
        <f ca="1">IF(LEFT($A$84,5)="blank",0,E12/'Input Global'!E$18)</f>
        <v>1.2443333376906691</v>
      </c>
      <c r="F89" s="107">
        <f ca="1">IF(LEFT($A$84,5)="blank",0,F12/'Input Global'!F$18)</f>
        <v>1.5132831273790388</v>
      </c>
      <c r="G89" s="107">
        <f ca="1">IF(LEFT($A$84,5)="blank",0,G12/'Input Global'!G$18)</f>
        <v>1.5066711107834292</v>
      </c>
      <c r="H89" s="107">
        <f ca="1">IF(LEFT($A$84,5)="blank",0,H12/'Input Global'!H$18)</f>
        <v>1.5531215544254269</v>
      </c>
    </row>
    <row r="90" spans="1:8" x14ac:dyDescent="0.3">
      <c r="A90" t="str">
        <f t="shared" si="9"/>
        <v>Green Schemes</v>
      </c>
      <c r="C90" t="s">
        <v>17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17</v>
      </c>
      <c r="D91" s="107">
        <f>IF(LEFT($A$84,5)="blank",0,D14/'Input Global'!D$18)</f>
        <v>0.17699999999999999</v>
      </c>
      <c r="E91" s="107">
        <f>IF(LEFT($A$84,5)="blank",0,E14/'Input Global'!E$18)</f>
        <v>0.19817619657770696</v>
      </c>
      <c r="F91" s="107">
        <f>IF(LEFT($A$84,5)="blank",0,F14/'Input Global'!F$18)</f>
        <v>0.39229200465000003</v>
      </c>
      <c r="G91" s="107">
        <f>IF(LEFT($A$84,5)="blank",0,G14/'Input Global'!G$18)</f>
        <v>0.48424525053995998</v>
      </c>
      <c r="H91" s="107">
        <f>IF(LEFT($A$84,5)="blank",0,H14/'Input Global'!H$18)</f>
        <v>0.48424525053995998</v>
      </c>
    </row>
    <row r="92" spans="1:8" x14ac:dyDescent="0.3">
      <c r="A92" s="11" t="str">
        <f t="shared" si="9"/>
        <v>Carbon costs</v>
      </c>
      <c r="C92" t="s">
        <v>17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2.0428249999999997</v>
      </c>
      <c r="G92" s="107">
        <f ca="1">IF(LEFT($A$84,5)="blank",0,G15/'Input Global'!G$18)</f>
        <v>2.1491536105016715</v>
      </c>
      <c r="H92" s="107">
        <f ca="1">IF(LEFT($A$84,5)="blank",0,H15/'Input Global'!H$18)</f>
        <v>2.2584319543253688</v>
      </c>
    </row>
    <row r="93" spans="1:8" x14ac:dyDescent="0.3">
      <c r="A93" s="11" t="str">
        <f t="shared" si="9"/>
        <v>Large Scale Renewable Energy Target</v>
      </c>
      <c r="C93" t="s">
        <v>17</v>
      </c>
      <c r="D93" s="107">
        <f ca="1">IF(LEFT($A$84,5)="blank",0,D16/'Input Global'!D$18)</f>
        <v>0.184</v>
      </c>
      <c r="E93" s="107">
        <f ca="1">IF(LEFT($A$84,5)="blank",0,E16/'Input Global'!E$18)</f>
        <v>0.27367499999999995</v>
      </c>
      <c r="F93" s="107">
        <f ca="1">IF(LEFT($A$84,5)="blank",0,F16/'Input Global'!F$18)</f>
        <v>0.45407499999999995</v>
      </c>
      <c r="G93" s="107">
        <f ca="1">IF(LEFT($A$84,5)="blank",0,G16/'Input Global'!G$18)</f>
        <v>0.48656705269465428</v>
      </c>
      <c r="H93" s="107">
        <f ca="1">IF(LEFT($A$84,5)="blank",0,H16/'Input Global'!H$18)</f>
        <v>0.51525329609533654</v>
      </c>
    </row>
    <row r="94" spans="1:8" x14ac:dyDescent="0.3">
      <c r="A94" s="11" t="str">
        <f t="shared" si="9"/>
        <v>Small Scale Renewable Energy Scheme</v>
      </c>
      <c r="C94" t="s">
        <v>17</v>
      </c>
      <c r="D94" s="107">
        <f ca="1">IF(LEFT($A$84,5)="blank",0,D17/'Input Global'!D$18)</f>
        <v>0</v>
      </c>
      <c r="E94" s="107">
        <f ca="1">IF(LEFT($A$84,5)="blank",0,E17/'Input Global'!E$18)</f>
        <v>0.62012499999999982</v>
      </c>
      <c r="F94" s="107">
        <f ca="1">IF(LEFT($A$84,5)="blank",0,F17/'Input Global'!F$18)</f>
        <v>0.55042499999999994</v>
      </c>
      <c r="G94" s="107">
        <f ca="1">IF(LEFT($A$84,5)="blank",0,G17/'Input Global'!G$18)</f>
        <v>0.2422560188087774</v>
      </c>
      <c r="H94" s="107">
        <f ca="1">IF(LEFT($A$84,5)="blank",0,H17/'Input Global'!H$18)</f>
        <v>0.21050736677115994</v>
      </c>
    </row>
    <row r="95" spans="1:8" x14ac:dyDescent="0.3">
      <c r="A95" s="11" t="str">
        <f t="shared" si="9"/>
        <v>Energy savings</v>
      </c>
      <c r="C95" t="s">
        <v>17</v>
      </c>
      <c r="D95" s="107">
        <f ca="1">IF(LEFT($A$84,5)="blank",0,D18/'Input Global'!D$18)</f>
        <v>7.1999999999999995E-2</v>
      </c>
      <c r="E95" s="107">
        <f ca="1">IF(LEFT($A$84,5)="blank",0,E18/'Input Global'!E$18)</f>
        <v>0.111725</v>
      </c>
      <c r="F95" s="107">
        <f ca="1">IF(LEFT($A$84,5)="blank",0,F18/'Input Global'!F$18)</f>
        <v>0.155</v>
      </c>
      <c r="G95" s="107">
        <f ca="1">IF(LEFT($A$84,5)="blank",0,G18/'Input Global'!G$18)</f>
        <v>0</v>
      </c>
      <c r="H95" s="107">
        <f ca="1">IF(LEFT($A$84,5)="blank",0,H18/'Input Global'!H$18)</f>
        <v>0</v>
      </c>
    </row>
    <row r="96" spans="1:8" x14ac:dyDescent="0.3">
      <c r="A96" s="11" t="str">
        <f t="shared" si="9"/>
        <v>Blank</v>
      </c>
      <c r="C96" t="s">
        <v>17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12" t="s">
        <v>61</v>
      </c>
      <c r="B97" s="12"/>
      <c r="C97" s="12" t="s">
        <v>17</v>
      </c>
      <c r="D97" s="107">
        <f ca="1">SUM(D85:D96)</f>
        <v>21.217205324016419</v>
      </c>
      <c r="E97" s="107">
        <f t="shared" ref="E97:H97" ca="1" si="10">SUM(E85:E96)</f>
        <v>24.287543294925278</v>
      </c>
      <c r="F97" s="107">
        <f t="shared" ca="1" si="10"/>
        <v>29.537044745509387</v>
      </c>
      <c r="G97" s="107">
        <f t="shared" ca="1" si="10"/>
        <v>29.407987977143232</v>
      </c>
      <c r="H97" s="107">
        <f t="shared" ca="1" si="10"/>
        <v>30.314631821562969</v>
      </c>
    </row>
    <row r="99" spans="1:8" x14ac:dyDescent="0.3">
      <c r="A99" s="8" t="str">
        <f>Dist2</f>
        <v>Essential</v>
      </c>
    </row>
    <row r="100" spans="1:8" x14ac:dyDescent="0.3">
      <c r="A100" t="str">
        <f>A85</f>
        <v>Wholesale</v>
      </c>
      <c r="C100" t="s">
        <v>17</v>
      </c>
      <c r="D100" s="107">
        <f ca="1">IF(LEFT($A$99,5)="blank",0,D23/'Input Global'!D$19)</f>
        <v>7.2590000000000003</v>
      </c>
      <c r="E100" s="107">
        <f ca="1">IF(LEFT($A$99,5)="blank",0,E23/'Input Global'!E$19)</f>
        <v>7.1310000000000002</v>
      </c>
      <c r="F100" s="107">
        <f ca="1">IF(LEFT($A$99,5)="blank",0,F23/'Input Global'!F$19)</f>
        <v>7.4586236500000007</v>
      </c>
      <c r="G100" s="107">
        <f ca="1">IF(LEFT($A$99,5)="blank",0,G23/'Input Global'!G$19)</f>
        <v>6.7341897389805023</v>
      </c>
      <c r="H100" s="107">
        <f ca="1">IF(LEFT($A$99,5)="blank",0,H23/'Input Global'!H$19)</f>
        <v>7.1337126506261397</v>
      </c>
    </row>
    <row r="101" spans="1:8" x14ac:dyDescent="0.3">
      <c r="A101" t="str">
        <f t="shared" ref="A101:A111" si="11">A86</f>
        <v>Transmission</v>
      </c>
      <c r="C101" t="s">
        <v>17</v>
      </c>
      <c r="D101" s="107">
        <f>IF(LEFT($A$99,5)="blank",0,D24/'Input Global'!D$19)</f>
        <v>2.1191030893293696</v>
      </c>
      <c r="E101" s="107">
        <f>IF(LEFT($A$99,5)="blank",0,E24/'Input Global'!E$19)</f>
        <v>2.5446</v>
      </c>
      <c r="F101" s="107">
        <f>IF(LEFT($A$99,5)="blank",0,F24/'Input Global'!F$19)</f>
        <v>2.7676417132395836</v>
      </c>
      <c r="G101" s="107">
        <f>IF(LEFT($A$99,5)="blank",0,G24/'Input Global'!G$19)</f>
        <v>2.9604536301246367</v>
      </c>
      <c r="H101" s="107">
        <f>IF(LEFT($A$99,5)="blank",0,H24/'Input Global'!H$19)</f>
        <v>3.1666980787984134</v>
      </c>
    </row>
    <row r="102" spans="1:8" x14ac:dyDescent="0.3">
      <c r="A102" t="str">
        <f t="shared" si="11"/>
        <v>Distribution</v>
      </c>
      <c r="C102" t="s">
        <v>17</v>
      </c>
      <c r="D102" s="107">
        <f>IF(LEFT($A$99,5)="blank",0,D25/'Input Global'!D$19)</f>
        <v>12.817635714285757</v>
      </c>
      <c r="E102" s="107">
        <f>IF(LEFT($A$99,5)="blank",0,E25/'Input Global'!E$19)</f>
        <v>15.660097142857142</v>
      </c>
      <c r="F102" s="107">
        <f>IF(LEFT($A$99,5)="blank",0,F25/'Input Global'!F$19)</f>
        <v>18.760154107428573</v>
      </c>
      <c r="G102" s="107">
        <f>IF(LEFT($A$99,5)="blank",0,G25/'Input Global'!G$19)</f>
        <v>18.381439508665245</v>
      </c>
      <c r="H102" s="107">
        <f>IF(LEFT($A$99,5)="blank",0,H25/'Input Global'!H$19)</f>
        <v>18.850897529191698</v>
      </c>
    </row>
    <row r="103" spans="1:8" x14ac:dyDescent="0.3">
      <c r="A103" t="str">
        <f t="shared" si="11"/>
        <v>Retail</v>
      </c>
      <c r="C103" t="s">
        <v>17</v>
      </c>
      <c r="D103" s="107">
        <f>IF(LEFT($A$99,5)="blank",0,D26/'Input Global'!D$19)</f>
        <v>1.32</v>
      </c>
      <c r="E103" s="107">
        <f>IF(LEFT($A$99,5)="blank",0,E26/'Input Global'!E$19)</f>
        <v>1.43</v>
      </c>
      <c r="F103" s="107">
        <f>IF(LEFT($A$99,5)="blank",0,F26/'Input Global'!F$19)</f>
        <v>1.4964999999999997</v>
      </c>
      <c r="G103" s="107">
        <f>IF(LEFT($A$99,5)="blank",0,G26/'Input Global'!G$19)</f>
        <v>1.5339124999999998</v>
      </c>
      <c r="H103" s="107">
        <f>IF(LEFT($A$99,5)="blank",0,H26/'Input Global'!H$19)</f>
        <v>1.5722603124999996</v>
      </c>
    </row>
    <row r="104" spans="1:8" x14ac:dyDescent="0.3">
      <c r="A104" t="str">
        <f t="shared" si="11"/>
        <v>Retail and Residual</v>
      </c>
      <c r="C104" t="s">
        <v>17</v>
      </c>
      <c r="D104" s="107">
        <f ca="1">IF(LEFT($A$99,5)="blank",0,D27/'Input Global'!D$19)</f>
        <v>1.2927419127727335</v>
      </c>
      <c r="E104" s="107">
        <f ca="1">IF(LEFT($A$99,5)="blank",0,E27/'Input Global'!E$19)</f>
        <v>1.5097763957142858</v>
      </c>
      <c r="F104" s="107">
        <f ca="1">IF(LEFT($A$99,5)="blank",0,F27/'Input Global'!F$19)</f>
        <v>1.8372386012453259</v>
      </c>
      <c r="G104" s="107">
        <f ca="1">IF(LEFT($A$99,5)="blank",0,G27/'Input Global'!G$19)</f>
        <v>1.7758146652730249</v>
      </c>
      <c r="H104" s="107">
        <f ca="1">IF(LEFT($A$99,5)="blank",0,H27/'Input Global'!H$19)</f>
        <v>1.841619464213113</v>
      </c>
    </row>
    <row r="105" spans="1:8" x14ac:dyDescent="0.3">
      <c r="A105" t="str">
        <f t="shared" si="11"/>
        <v>Green Schemes</v>
      </c>
      <c r="C105" t="s">
        <v>17</v>
      </c>
      <c r="D105" s="103"/>
      <c r="E105" s="103"/>
      <c r="F105" s="103"/>
      <c r="G105" s="103"/>
      <c r="H105" s="103"/>
    </row>
    <row r="106" spans="1:8" x14ac:dyDescent="0.3">
      <c r="A106" s="11" t="str">
        <f t="shared" si="11"/>
        <v>Feed-in Tariffs</v>
      </c>
      <c r="C106" t="s">
        <v>17</v>
      </c>
      <c r="D106" s="107">
        <f>IF(LEFT($A$99,5)="blank",0,D29/'Input Global'!D$19)</f>
        <v>0.16792624773178752</v>
      </c>
      <c r="E106" s="107">
        <f>IF(LEFT($A$99,5)="blank",0,E29/'Input Global'!E$19)</f>
        <v>0.1794</v>
      </c>
      <c r="F106" s="107">
        <f>IF(LEFT($A$99,5)="blank",0,F29/'Input Global'!F$19)</f>
        <v>0.32151758943047254</v>
      </c>
      <c r="G106" s="107">
        <f>IF(LEFT($A$99,5)="blank",0,G29/'Input Global'!G$19)</f>
        <v>0.39688131239297536</v>
      </c>
      <c r="H106" s="107">
        <f>IF(LEFT($A$99,5)="blank",0,H29/'Input Global'!H$19)</f>
        <v>0.39688131239297536</v>
      </c>
    </row>
    <row r="107" spans="1:8" x14ac:dyDescent="0.3">
      <c r="A107" s="11" t="str">
        <f t="shared" si="11"/>
        <v>Carbon costs</v>
      </c>
      <c r="C107" t="s">
        <v>17</v>
      </c>
      <c r="D107" s="107">
        <f ca="1">IF(LEFT($A$99,5)="blank",0,D30/'Input Global'!D$19)</f>
        <v>0</v>
      </c>
      <c r="E107" s="107">
        <f ca="1">IF(LEFT($A$99,5)="blank",0,E30/'Input Global'!E$19)</f>
        <v>0</v>
      </c>
      <c r="F107" s="107">
        <f ca="1">IF(LEFT($A$99,5)="blank",0,F30/'Input Global'!F$19)</f>
        <v>2.0335999999999999</v>
      </c>
      <c r="G107" s="107">
        <f ca="1">IF(LEFT($A$99,5)="blank",0,G30/'Input Global'!G$19)</f>
        <v>2.1378315725175741</v>
      </c>
      <c r="H107" s="107">
        <f ca="1">IF(LEFT($A$99,5)="blank",0,H30/'Input Global'!H$19)</f>
        <v>2.2472823552575565</v>
      </c>
    </row>
    <row r="108" spans="1:8" x14ac:dyDescent="0.3">
      <c r="A108" s="11" t="str">
        <f t="shared" si="11"/>
        <v>Large Scale Renewable Energy Target</v>
      </c>
      <c r="C108" t="s">
        <v>17</v>
      </c>
      <c r="D108" s="107">
        <f ca="1">IF(LEFT($A$99,5)="blank",0,D31/'Input Global'!D$19)</f>
        <v>0.184</v>
      </c>
      <c r="E108" s="107">
        <f ca="1">IF(LEFT($A$99,5)="blank",0,E31/'Input Global'!E$19)</f>
        <v>0.27162499999999995</v>
      </c>
      <c r="F108" s="107">
        <f ca="1">IF(LEFT($A$99,5)="blank",0,F31/'Input Global'!F$19)</f>
        <v>0.45509999999999995</v>
      </c>
      <c r="G108" s="107">
        <f ca="1">IF(LEFT($A$99,5)="blank",0,G31/'Input Global'!G$19)</f>
        <v>0.4876653981860643</v>
      </c>
      <c r="H108" s="107">
        <f ca="1">IF(LEFT($A$99,5)="blank",0,H31/'Input Global'!H$19)</f>
        <v>0.51641639608652246</v>
      </c>
    </row>
    <row r="109" spans="1:8" x14ac:dyDescent="0.3">
      <c r="A109" s="11" t="str">
        <f t="shared" si="11"/>
        <v>Small Scale Renewable Energy Scheme</v>
      </c>
      <c r="C109" t="s">
        <v>17</v>
      </c>
      <c r="D109" s="107">
        <f ca="1">IF(LEFT($A$99,5)="blank",0,D32/'Input Global'!D$19)</f>
        <v>0</v>
      </c>
      <c r="E109" s="107">
        <f ca="1">IF(LEFT($A$99,5)="blank",0,E32/'Input Global'!E$19)</f>
        <v>0.63037500000000002</v>
      </c>
      <c r="F109" s="107">
        <f ca="1">IF(LEFT($A$99,5)="blank",0,F32/'Input Global'!F$19)</f>
        <v>0.57502500000000001</v>
      </c>
      <c r="G109" s="107">
        <f ca="1">IF(LEFT($A$99,5)="blank",0,G32/'Input Global'!G$19)</f>
        <v>0.25308310344827584</v>
      </c>
      <c r="H109" s="107">
        <f ca="1">IF(LEFT($A$99,5)="blank",0,H32/'Input Global'!H$19)</f>
        <v>0.21991551724137939</v>
      </c>
    </row>
    <row r="110" spans="1:8" x14ac:dyDescent="0.3">
      <c r="A110" s="11" t="str">
        <f t="shared" si="11"/>
        <v>Energy savings</v>
      </c>
      <c r="C110" t="s">
        <v>17</v>
      </c>
      <c r="D110" s="107">
        <f ca="1">IF(LEFT($A$99,5)="blank",0,D33/'Input Global'!D$19)</f>
        <v>7.1999999999999995E-2</v>
      </c>
      <c r="E110" s="107">
        <f ca="1">IF(LEFT($A$99,5)="blank",0,E33/'Input Global'!E$19)</f>
        <v>0.111725</v>
      </c>
      <c r="F110" s="107">
        <f ca="1">IF(LEFT($A$99,5)="blank",0,F33/'Input Global'!F$19)</f>
        <v>0.154775</v>
      </c>
      <c r="G110" s="107">
        <f ca="1">IF(LEFT($A$99,5)="blank",0,G33/'Input Global'!G$19)</f>
        <v>0</v>
      </c>
      <c r="H110" s="107">
        <f ca="1">IF(LEFT($A$99,5)="blank",0,H33/'Input Global'!H$19)</f>
        <v>0</v>
      </c>
    </row>
    <row r="111" spans="1:8" x14ac:dyDescent="0.3">
      <c r="A111" s="11" t="str">
        <f t="shared" si="11"/>
        <v>Blank</v>
      </c>
      <c r="C111" t="s">
        <v>17</v>
      </c>
      <c r="D111" s="107">
        <f ca="1">IF(LEFT($A$99,5)="blank",0,D34/'Input Global'!D$19)</f>
        <v>0</v>
      </c>
      <c r="E111" s="107">
        <f ca="1">IF(LEFT($A$99,5)="blank",0,E34/'Input Global'!E$19)</f>
        <v>0</v>
      </c>
      <c r="F111" s="107">
        <f ca="1">IF(LEFT($A$99,5)="blank",0,F34/'Input Global'!F$19)</f>
        <v>0</v>
      </c>
      <c r="G111" s="107">
        <f ca="1">IF(LEFT($A$99,5)="blank",0,G34/'Input Global'!G$19)</f>
        <v>0</v>
      </c>
      <c r="H111" s="107">
        <f ca="1">IF(LEFT($A$99,5)="blank",0,H34/'Input Global'!H$19)</f>
        <v>0</v>
      </c>
    </row>
    <row r="112" spans="1:8" x14ac:dyDescent="0.3">
      <c r="A112" s="12" t="s">
        <v>61</v>
      </c>
      <c r="B112" s="12"/>
      <c r="C112" s="12" t="s">
        <v>17</v>
      </c>
      <c r="D112" s="107">
        <f ca="1">SUM(D100:D111)</f>
        <v>25.232406964119651</v>
      </c>
      <c r="E112" s="107">
        <f t="shared" ref="E112:H112" ca="1" si="12">SUM(E100:E111)</f>
        <v>29.468598538571431</v>
      </c>
      <c r="F112" s="107">
        <f t="shared" ca="1" si="12"/>
        <v>35.860175661343952</v>
      </c>
      <c r="G112" s="107">
        <f t="shared" ca="1" si="12"/>
        <v>34.661271429588297</v>
      </c>
      <c r="H112" s="107">
        <f t="shared" ca="1" si="12"/>
        <v>35.945683616307797</v>
      </c>
    </row>
    <row r="114" spans="1:8" x14ac:dyDescent="0.3">
      <c r="A114" s="8" t="str">
        <f>Dist3</f>
        <v>Endeavour</v>
      </c>
    </row>
    <row r="115" spans="1:8" x14ac:dyDescent="0.3">
      <c r="A115" t="str">
        <f>A100</f>
        <v>Wholesale</v>
      </c>
      <c r="C115" t="s">
        <v>17</v>
      </c>
      <c r="D115" s="107">
        <f ca="1">IF(LEFT($A$114,5)="blank",0,D38/'Input Global'!D$20)</f>
        <v>7.7910000000000004</v>
      </c>
      <c r="E115" s="107">
        <f ca="1">IF(LEFT($A$114,5)="blank",0,E38/'Input Global'!E$20)</f>
        <v>7.8330000000000002</v>
      </c>
      <c r="F115" s="107">
        <f ca="1">IF(LEFT($A$114,5)="blank",0,F38/'Input Global'!F$20)</f>
        <v>7.9835999999999991</v>
      </c>
      <c r="G115" s="107">
        <f ca="1">IF(LEFT($A$114,5)="blank",0,G38/'Input Global'!G$20)</f>
        <v>7.4943609183160493</v>
      </c>
      <c r="H115" s="107">
        <f ca="1">IF(LEFT($A$114,5)="blank",0,H38/'Input Global'!H$20)</f>
        <v>7.5696280827586859</v>
      </c>
    </row>
    <row r="116" spans="1:8" x14ac:dyDescent="0.3">
      <c r="A116" t="str">
        <f t="shared" ref="A116:A126" si="13">A101</f>
        <v>Transmission</v>
      </c>
      <c r="C116" t="s">
        <v>17</v>
      </c>
      <c r="D116" s="107">
        <f>IF(LEFT($A$114,5)="blank",0,D39/'Input Global'!D$20)</f>
        <v>1.249397574532169</v>
      </c>
      <c r="E116" s="107">
        <f>IF(LEFT($A$114,5)="blank",0,E39/'Input Global'!E$20)</f>
        <v>1.2585029639840879</v>
      </c>
      <c r="F116" s="107">
        <f>IF(LEFT($A$114,5)="blank",0,F39/'Input Global'!F$20)</f>
        <v>1.422070621886677</v>
      </c>
      <c r="G116" s="107">
        <f>IF(LEFT($A$114,5)="blank",0,G39/'Input Global'!G$20)</f>
        <v>1.521141307676761</v>
      </c>
      <c r="H116" s="107">
        <f>IF(LEFT($A$114,5)="blank",0,H39/'Input Global'!H$20)</f>
        <v>1.6271139015942322</v>
      </c>
    </row>
    <row r="117" spans="1:8" x14ac:dyDescent="0.3">
      <c r="A117" t="str">
        <f t="shared" si="13"/>
        <v>Distribution</v>
      </c>
      <c r="C117" t="s">
        <v>17</v>
      </c>
      <c r="D117" s="107">
        <f>IF(LEFT($A$114,5)="blank",0,D40/'Input Global'!D$20)</f>
        <v>9.6471469064325959</v>
      </c>
      <c r="E117" s="107">
        <f>IF(LEFT($A$114,5)="blank",0,E40/'Input Global'!E$20)</f>
        <v>11.275603248719619</v>
      </c>
      <c r="F117" s="107">
        <f>IF(LEFT($A$114,5)="blank",0,F40/'Input Global'!F$20)</f>
        <v>8.1274565157935008</v>
      </c>
      <c r="G117" s="107">
        <f>IF(LEFT($A$114,5)="blank",0,G40/'Input Global'!G$20)</f>
        <v>7.2969442103148969</v>
      </c>
      <c r="H117" s="107">
        <f>IF(LEFT($A$114,5)="blank",0,H40/'Input Global'!H$20)</f>
        <v>7.6004007355727694</v>
      </c>
    </row>
    <row r="118" spans="1:8" x14ac:dyDescent="0.3">
      <c r="A118" t="str">
        <f t="shared" si="13"/>
        <v>Retail</v>
      </c>
      <c r="C118" t="s">
        <v>17</v>
      </c>
      <c r="D118" s="107">
        <f>IF(LEFT($A$114,5)="blank",0,D41/'Input Global'!D$20)</f>
        <v>1.1400000000000001</v>
      </c>
      <c r="E118" s="107">
        <f>IF(LEFT($A$114,5)="blank",0,E41/'Input Global'!E$20)</f>
        <v>1.32</v>
      </c>
      <c r="F118" s="107">
        <f>IF(LEFT($A$114,5)="blank",0,F41/'Input Global'!F$20)</f>
        <v>1.3837499999999998</v>
      </c>
      <c r="G118" s="107">
        <f>IF(LEFT($A$114,5)="blank",0,G41/'Input Global'!G$20)</f>
        <v>1.4183437499999996</v>
      </c>
      <c r="H118" s="107">
        <f>IF(LEFT($A$114,5)="blank",0,H41/'Input Global'!H$20)</f>
        <v>1.4538023437499994</v>
      </c>
    </row>
    <row r="119" spans="1:8" x14ac:dyDescent="0.3">
      <c r="A119" t="str">
        <f t="shared" si="13"/>
        <v>Retail and Residual</v>
      </c>
      <c r="C119" t="s">
        <v>17</v>
      </c>
      <c r="D119" s="107">
        <f ca="1">IF(LEFT($A$114,5)="blank",0,D42/'Input Global'!D$20)</f>
        <v>1.0968126019720974</v>
      </c>
      <c r="E119" s="107">
        <f ca="1">IF(LEFT($A$114,5)="blank",0,E42/'Input Global'!E$20)</f>
        <v>1.2377909192546555</v>
      </c>
      <c r="F119" s="107">
        <f ca="1">IF(LEFT($A$114,5)="blank",0,F42/'Input Global'!F$20)</f>
        <v>1.4056673654347296</v>
      </c>
      <c r="G119" s="107">
        <f ca="1">IF(LEFT($A$114,5)="blank",0,G42/'Input Global'!G$20)</f>
        <v>1.3760354411821214</v>
      </c>
      <c r="H119" s="107">
        <f ca="1">IF(LEFT($A$114,5)="blank",0,H42/'Input Global'!H$20)</f>
        <v>1.4068915498740984</v>
      </c>
    </row>
    <row r="120" spans="1:8" x14ac:dyDescent="0.3">
      <c r="A120" t="str">
        <f t="shared" si="13"/>
        <v>Green Schemes</v>
      </c>
      <c r="C120" t="s">
        <v>17</v>
      </c>
      <c r="D120" s="103"/>
      <c r="E120" s="103"/>
      <c r="F120" s="103"/>
      <c r="G120" s="103"/>
      <c r="H120" s="103"/>
    </row>
    <row r="121" spans="1:8" x14ac:dyDescent="0.3">
      <c r="A121" s="11" t="str">
        <f t="shared" si="13"/>
        <v>Feed-in Tariffs</v>
      </c>
      <c r="C121" t="s">
        <v>17</v>
      </c>
      <c r="D121" s="107">
        <f>IF(LEFT($A$114,5)="blank",0,D44/'Input Global'!D$20)</f>
        <v>0.22779999999999997</v>
      </c>
      <c r="E121" s="107">
        <f>IF(LEFT($A$114,5)="blank",0,E44/'Input Global'!E$20)</f>
        <v>0.22942284756769224</v>
      </c>
      <c r="F121" s="107">
        <f>IF(LEFT($A$114,5)="blank",0,F44/'Input Global'!F$20)</f>
        <v>3.9219999999999993</v>
      </c>
      <c r="G121" s="107">
        <f>IF(LEFT($A$114,5)="blank",0,G44/'Input Global'!G$20)</f>
        <v>4.8413167999999986</v>
      </c>
      <c r="H121" s="107">
        <f>IF(LEFT($A$114,5)="blank",0,H44/'Input Global'!H$20)</f>
        <v>4.8413167999999986</v>
      </c>
    </row>
    <row r="122" spans="1:8" x14ac:dyDescent="0.3">
      <c r="A122" s="11" t="str">
        <f t="shared" si="13"/>
        <v>Carbon costs</v>
      </c>
      <c r="C122" t="s">
        <v>17</v>
      </c>
      <c r="D122" s="107">
        <f ca="1">IF(LEFT($A$114,5)="blank",0,D45/'Input Global'!D$20)</f>
        <v>0</v>
      </c>
      <c r="E122" s="107">
        <f ca="1">IF(LEFT($A$114,5)="blank",0,E45/'Input Global'!E$20)</f>
        <v>0</v>
      </c>
      <c r="F122" s="107">
        <f ca="1">IF(LEFT($A$114,5)="blank",0,F45/'Input Global'!F$20)</f>
        <v>2.0139999999999998</v>
      </c>
      <c r="G122" s="107">
        <f ca="1">IF(LEFT($A$114,5)="blank",0,G45/'Input Global'!G$20)</f>
        <v>2.1712184858920378</v>
      </c>
      <c r="H122" s="107">
        <f ca="1">IF(LEFT($A$114,5)="blank",0,H45/'Input Global'!H$20)</f>
        <v>2.2262490200576792</v>
      </c>
    </row>
    <row r="123" spans="1:8" x14ac:dyDescent="0.3">
      <c r="A123" s="11" t="str">
        <f t="shared" si="13"/>
        <v>Large Scale Renewable Energy Target</v>
      </c>
      <c r="C123" t="s">
        <v>17</v>
      </c>
      <c r="D123" s="107">
        <f ca="1">IF(LEFT($A$114,5)="blank",0,D46/'Input Global'!D$20)</f>
        <v>0.184</v>
      </c>
      <c r="E123" s="107">
        <f ca="1">IF(LEFT($A$114,5)="blank",0,E46/'Input Global'!E$20)</f>
        <v>0.27060000000000001</v>
      </c>
      <c r="F123" s="107">
        <f ca="1">IF(LEFT($A$114,5)="blank",0,F46/'Input Global'!F$20)</f>
        <v>0.45700000000000002</v>
      </c>
      <c r="G123" s="107">
        <f ca="1">IF(LEFT($A$114,5)="blank",0,G46/'Input Global'!G$20)</f>
        <v>0.48970135568233664</v>
      </c>
      <c r="H123" s="107">
        <f ca="1">IF(LEFT($A$114,5)="blank",0,H46/'Input Global'!H$20)</f>
        <v>0.51857238631408642</v>
      </c>
    </row>
    <row r="124" spans="1:8" x14ac:dyDescent="0.3">
      <c r="A124" s="11" t="str">
        <f t="shared" si="13"/>
        <v>Small Scale Renewable Energy Scheme</v>
      </c>
      <c r="C124" t="s">
        <v>17</v>
      </c>
      <c r="D124" s="107">
        <f ca="1">IF(LEFT($A$114,5)="blank",0,D47/'Input Global'!D$20)</f>
        <v>0</v>
      </c>
      <c r="E124" s="107">
        <f ca="1">IF(LEFT($A$114,5)="blank",0,E47/'Input Global'!E$20)</f>
        <v>0.62319999999999998</v>
      </c>
      <c r="F124" s="107">
        <f ca="1">IF(LEFT($A$114,5)="blank",0,F47/'Input Global'!F$20)</f>
        <v>0.56599999999999995</v>
      </c>
      <c r="G124" s="107">
        <f ca="1">IF(LEFT($A$114,5)="blank",0,G47/'Input Global'!G$20)</f>
        <v>0.24911097178683381</v>
      </c>
      <c r="H124" s="107">
        <f ca="1">IF(LEFT($A$114,5)="blank",0,H47/'Input Global'!H$20)</f>
        <v>0.2164639498432602</v>
      </c>
    </row>
    <row r="125" spans="1:8" x14ac:dyDescent="0.3">
      <c r="A125" s="11" t="str">
        <f t="shared" si="13"/>
        <v>Energy savings</v>
      </c>
      <c r="C125" t="s">
        <v>17</v>
      </c>
      <c r="D125" s="107">
        <f ca="1">IF(LEFT($A$114,5)="blank",0,D48/'Input Global'!D$20)</f>
        <v>7.1999999999999995E-2</v>
      </c>
      <c r="E125" s="107">
        <f ca="1">IF(LEFT($A$114,5)="blank",0,E48/'Input Global'!E$20)</f>
        <v>0.111725</v>
      </c>
      <c r="F125" s="107">
        <f ca="1">IF(LEFT($A$114,5)="blank",0,F48/'Input Global'!F$20)</f>
        <v>0.155</v>
      </c>
      <c r="G125" s="107">
        <f ca="1">IF(LEFT($A$114,5)="blank",0,G48/'Input Global'!G$20)</f>
        <v>0</v>
      </c>
      <c r="H125" s="107">
        <f ca="1">IF(LEFT($A$114,5)="blank",0,H48/'Input Global'!H$20)</f>
        <v>0</v>
      </c>
    </row>
    <row r="126" spans="1:8" x14ac:dyDescent="0.3">
      <c r="A126" s="11" t="str">
        <f t="shared" si="13"/>
        <v>Blank</v>
      </c>
      <c r="C126" t="s">
        <v>17</v>
      </c>
      <c r="D126" s="107">
        <f ca="1">IF(LEFT($A$114,5)="blank",0,D49/'Input Global'!D$20)</f>
        <v>0</v>
      </c>
      <c r="E126" s="107">
        <f ca="1">IF(LEFT($A$114,5)="blank",0,E49/'Input Global'!E$20)</f>
        <v>0</v>
      </c>
      <c r="F126" s="107">
        <f ca="1">IF(LEFT($A$114,5)="blank",0,F49/'Input Global'!F$20)</f>
        <v>0</v>
      </c>
      <c r="G126" s="107">
        <f ca="1">IF(LEFT($A$114,5)="blank",0,G49/'Input Global'!G$20)</f>
        <v>0</v>
      </c>
      <c r="H126" s="107">
        <f ca="1">IF(LEFT($A$114,5)="blank",0,H49/'Input Global'!H$20)</f>
        <v>0</v>
      </c>
    </row>
    <row r="127" spans="1:8" x14ac:dyDescent="0.3">
      <c r="A127" s="12" t="s">
        <v>61</v>
      </c>
      <c r="B127" s="12"/>
      <c r="C127" s="12" t="s">
        <v>17</v>
      </c>
      <c r="D127" s="107">
        <f ca="1">SUM(D115:D126)</f>
        <v>21.408157082936864</v>
      </c>
      <c r="E127" s="107">
        <f t="shared" ref="E127:H127" ca="1" si="14">SUM(E115:E126)</f>
        <v>24.15984497952606</v>
      </c>
      <c r="F127" s="107">
        <f t="shared" ca="1" si="14"/>
        <v>27.436544503114906</v>
      </c>
      <c r="G127" s="107">
        <f t="shared" ca="1" si="14"/>
        <v>26.858173240851031</v>
      </c>
      <c r="H127" s="107">
        <f t="shared" ca="1" si="14"/>
        <v>27.46043876976481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17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17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17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17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17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17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17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17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17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17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1" t="str">
        <f t="shared" si="15"/>
        <v>Energy savings</v>
      </c>
      <c r="C140" t="s">
        <v>17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17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12" t="s">
        <v>61</v>
      </c>
      <c r="B142" s="12"/>
      <c r="C142" s="12" t="s">
        <v>17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17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17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17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17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17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17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17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17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17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17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1" t="str">
        <f t="shared" si="17"/>
        <v>Energy savings</v>
      </c>
      <c r="C155" t="s">
        <v>17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17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12" t="s">
        <v>61</v>
      </c>
      <c r="B157" s="12"/>
      <c r="C157" s="12" t="s">
        <v>17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" t="s">
        <v>74</v>
      </c>
    </row>
    <row r="160" spans="1:8" x14ac:dyDescent="0.3">
      <c r="A160" t="str">
        <f>Dist1</f>
        <v xml:space="preserve">Ausgrid </v>
      </c>
      <c r="B160" t="s">
        <v>43</v>
      </c>
      <c r="C160" t="s">
        <v>29</v>
      </c>
      <c r="D160" s="108">
        <f>'Input Global'!D25/'Input Global'!D$30</f>
        <v>0.52009242680069001</v>
      </c>
      <c r="E160" s="108">
        <f>'Input Global'!E25/'Input Global'!E$30</f>
        <v>0.52009242680069001</v>
      </c>
      <c r="F160" s="108">
        <f>'Input Global'!F25/'Input Global'!F$30</f>
        <v>0.52009242680069001</v>
      </c>
      <c r="G160" s="108">
        <f>'Input Global'!G25/'Input Global'!G$30</f>
        <v>0.52009242680069001</v>
      </c>
      <c r="H160" s="108">
        <f>'Input Global'!H25/'Input Global'!H$30</f>
        <v>0.52009242680069001</v>
      </c>
    </row>
    <row r="161" spans="1:8" x14ac:dyDescent="0.3">
      <c r="A161" t="str">
        <f>Dist2</f>
        <v>Essential</v>
      </c>
      <c r="B161" t="s">
        <v>43</v>
      </c>
      <c r="C161" t="s">
        <v>29</v>
      </c>
      <c r="D161" s="108">
        <f>'Input Global'!D26/'Input Global'!D$30</f>
        <v>0.22405504769188242</v>
      </c>
      <c r="E161" s="108">
        <f>'Input Global'!E26/'Input Global'!E$30</f>
        <v>0.22405504769188242</v>
      </c>
      <c r="F161" s="108">
        <f>'Input Global'!F26/'Input Global'!F$30</f>
        <v>0.22405504769188242</v>
      </c>
      <c r="G161" s="108">
        <f>'Input Global'!G26/'Input Global'!G$30</f>
        <v>0.22405504769188242</v>
      </c>
      <c r="H161" s="108">
        <f>'Input Global'!H26/'Input Global'!H$30</f>
        <v>0.22405504769188242</v>
      </c>
    </row>
    <row r="162" spans="1:8" x14ac:dyDescent="0.3">
      <c r="A162" t="str">
        <f>Dist3</f>
        <v>Endeavour</v>
      </c>
      <c r="B162" t="s">
        <v>43</v>
      </c>
      <c r="C162" t="s">
        <v>29</v>
      </c>
      <c r="D162" s="108">
        <f>'Input Global'!D27/'Input Global'!D$30</f>
        <v>0.25585252550742754</v>
      </c>
      <c r="E162" s="108">
        <f>'Input Global'!E27/'Input Global'!E$30</f>
        <v>0.25585252550742754</v>
      </c>
      <c r="F162" s="108">
        <f>'Input Global'!F27/'Input Global'!F$30</f>
        <v>0.25585252550742754</v>
      </c>
      <c r="G162" s="108">
        <f>'Input Global'!G27/'Input Global'!G$30</f>
        <v>0.25585252550742754</v>
      </c>
      <c r="H162" s="108">
        <f>'Input Global'!H27/'Input Global'!H$30</f>
        <v>0.25585252550742754</v>
      </c>
    </row>
    <row r="163" spans="1:8" hidden="1" x14ac:dyDescent="0.3">
      <c r="A163" t="str">
        <f>Dist4</f>
        <v>blank</v>
      </c>
      <c r="B163" t="s">
        <v>43</v>
      </c>
      <c r="C163" t="s">
        <v>29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t="str">
        <f>Dist5</f>
        <v>blank</v>
      </c>
      <c r="B164" t="s">
        <v>43</v>
      </c>
      <c r="C164" t="s">
        <v>29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165"/>
  <sheetViews>
    <sheetView zoomScaleNormal="100" workbookViewId="0">
      <pane xSplit="3" ySplit="4" topLeftCell="D146" activePane="bottomRight" state="frozenSplit"/>
      <selection activeCell="I168" sqref="I168"/>
      <selection pane="topRight" activeCell="I168" sqref="I168"/>
      <selection pane="bottomLeft" activeCell="I168" sqref="I168"/>
      <selection pane="bottomRight" activeCell="I168" sqref="I168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7</v>
      </c>
      <c r="B1" s="7" t="str">
        <f ca="1">'Input Global'!B1</f>
        <v>2012 Pricing Trends - model - NSW</v>
      </c>
      <c r="C1" s="5"/>
      <c r="D1" s="99"/>
      <c r="E1" s="99"/>
      <c r="F1" s="99"/>
      <c r="G1" s="98"/>
      <c r="H1" s="98"/>
      <c r="I1" s="79" t="s">
        <v>37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Planning Case)</v>
      </c>
      <c r="C2" s="3"/>
      <c r="D2" s="100"/>
      <c r="E2" s="100"/>
      <c r="F2" s="100"/>
      <c r="G2" s="98"/>
      <c r="H2" s="98"/>
      <c r="I2" s="85" t="s">
        <v>31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" customFormat="1" ht="15" x14ac:dyDescent="0.25">
      <c r="B4" s="6"/>
      <c r="C4" s="6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44</v>
      </c>
      <c r="B6" s="1" t="s">
        <v>48</v>
      </c>
    </row>
    <row r="7" spans="1:16" x14ac:dyDescent="0.3">
      <c r="A7" s="8" t="str">
        <f>Dist1</f>
        <v xml:space="preserve">Ausgrid </v>
      </c>
    </row>
    <row r="8" spans="1:16" x14ac:dyDescent="0.3">
      <c r="A8" t="str">
        <f>'Calc (Jurisdiction)'!A8</f>
        <v>Wholesale</v>
      </c>
      <c r="C8" t="s">
        <v>63</v>
      </c>
      <c r="D8" s="107">
        <f ca="1">VLOOKUP($B$2,dist1wholesale,COLUMN('Calc (Jurisdiction)'!D8),FALSE)*'Input Global'!D18</f>
        <v>52080</v>
      </c>
      <c r="E8" s="107">
        <f ca="1">VLOOKUP($B$2,dist1wholesale,COLUMN('Calc (Jurisdiction)'!E8),FALSE)*'Input Global'!E18</f>
        <v>51548</v>
      </c>
      <c r="F8" s="107">
        <f ca="1">VLOOKUP($B$2,dist1wholesale,COLUMN('Calc (Jurisdiction)'!F8),FALSE)*'Input Global'!F18</f>
        <v>52102.740550000002</v>
      </c>
      <c r="G8" s="107">
        <f ca="1">VLOOKUP($B$2,dist1wholesale,COLUMN('Calc (Jurisdiction)'!G8),FALSE)*'Input Global'!G18</f>
        <v>46625.204591329821</v>
      </c>
      <c r="H8" s="107">
        <f ca="1">VLOOKUP($B$2,dist1wholesale,COLUMN('Calc (Jurisdiction)'!H8),FALSE)*'Input Global'!H18</f>
        <v>48449.994175780317</v>
      </c>
    </row>
    <row r="9" spans="1:16" x14ac:dyDescent="0.3">
      <c r="A9" t="str">
        <f>'Calc (Jurisdiction)'!A9</f>
        <v>Transmission</v>
      </c>
      <c r="C9" t="s">
        <v>63</v>
      </c>
      <c r="D9" s="107">
        <f>'Input General'!D8+(SUMPRODUCT('Input General'!D9:D12,'Input General'!D73:D76)*'Input Global'!D18)</f>
        <v>13643.396656357232</v>
      </c>
      <c r="E9" s="107">
        <f>'Input General'!E8+(SUMPRODUCT('Input General'!E9:E12,'Input General'!E73:E76)*'Input Global'!E18)</f>
        <v>17085.511121963093</v>
      </c>
      <c r="F9" s="107">
        <f>'Input General'!F8+(SUMPRODUCT('Input General'!F9:F12,'Input General'!F73:F76)*'Input Global'!F18)</f>
        <v>34551.444272383662</v>
      </c>
      <c r="G9" s="107">
        <f>'Input General'!G8+(SUMPRODUCT('Input General'!G9:G12,'Input General'!G73:G76)*'Input Global'!G18)</f>
        <v>36958.522533069154</v>
      </c>
      <c r="H9" s="107">
        <f>'Input General'!H8+(SUMPRODUCT('Input General'!H9:H12,'Input General'!H73:H76)*'Input Global'!H18)</f>
        <v>39533.293516159778</v>
      </c>
    </row>
    <row r="10" spans="1:16" x14ac:dyDescent="0.3">
      <c r="A10" t="str">
        <f>'Calc (Jurisdiction)'!A10</f>
        <v>Distribution</v>
      </c>
      <c r="C10" t="s">
        <v>63</v>
      </c>
      <c r="D10" s="107">
        <f>'Input General'!D28+SUMPRODUCT('Input General'!D29:D32,'Input General'!D73:D76)*'Input Global'!D18+'Input General'!D47</f>
        <v>62286.834148305898</v>
      </c>
      <c r="E10" s="107">
        <f>'Input General'!E28+SUMPRODUCT('Input General'!E29:E32,'Input General'!E73:E76)*'Input Global'!E18+'Input General'!E47</f>
        <v>74373.050202635233</v>
      </c>
      <c r="F10" s="107">
        <f>'Input General'!F28+SUMPRODUCT('Input General'!F29:F32,'Input General'!F73:F76)*'Input Global'!F18+'Input General'!F47</f>
        <v>74017.827471978759</v>
      </c>
      <c r="G10" s="107">
        <f>'Input General'!G28+SUMPRODUCT('Input General'!G29:G32,'Input General'!G73:G76)*'Input Global'!G18+'Input General'!G47</f>
        <v>74687.392682512756</v>
      </c>
      <c r="H10" s="107">
        <f>'Input General'!H28+SUMPRODUCT('Input General'!H29:H32,'Input General'!H73:H76)*'Input Global'!H18+'Input General'!H47</f>
        <v>76639.320418420059</v>
      </c>
      <c r="P10" s="9"/>
    </row>
    <row r="11" spans="1:16" x14ac:dyDescent="0.3">
      <c r="A11" t="str">
        <f>'Calc (Jurisdiction)'!A11</f>
        <v>Retail</v>
      </c>
      <c r="C11" t="s">
        <v>63</v>
      </c>
      <c r="D11" s="107">
        <f>'Input General'!D90*'Input Global'!D18</f>
        <v>9870</v>
      </c>
      <c r="E11" s="107">
        <f>'Input General'!E90*'Input Global'!E18</f>
        <v>9870</v>
      </c>
      <c r="F11" s="107">
        <f>'Input General'!F90*'Input Global'!F18</f>
        <v>10332</v>
      </c>
      <c r="G11" s="107">
        <f>'Input General'!G90*'Input Global'!G18</f>
        <v>10590.3</v>
      </c>
      <c r="H11" s="107">
        <f>'Input General'!H90*'Input Global'!H18</f>
        <v>10855.057499999997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63</v>
      </c>
      <c r="D12" s="107">
        <f ca="1">VLOOKUP($B$2,'Input General'!$A$143:$H$147,COLUMN(D12),FALSE)*'Input Global'!D33</f>
        <v>7609.2064634518083</v>
      </c>
      <c r="E12" s="107">
        <f ca="1">VLOOKUP($B$2,'Input General'!$A$143:$H$147,COLUMN(E12),FALSE)*'Input Global'!E33</f>
        <v>8710.333363834683</v>
      </c>
      <c r="F12" s="107">
        <f ca="1">VLOOKUP($B$2,'Input General'!$A$143:$H$147,COLUMN(F12),FALSE)*'Input Global'!F33</f>
        <v>10592.981891653271</v>
      </c>
      <c r="G12" s="107">
        <f ca="1">VLOOKUP($B$2,'Input General'!$A$143:$H$147,COLUMN(G12),FALSE)*'Input Global'!G33</f>
        <v>10441.135626785315</v>
      </c>
      <c r="H12" s="107">
        <f ca="1">VLOOKUP($B$2,'Input General'!$A$143:$H$147,COLUMN(H12),FALSE)*'Input Global'!H33</f>
        <v>10762.724782160971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63</v>
      </c>
      <c r="D14" s="107">
        <f>'Input General'!D53+SUMPRODUCT('Input General'!D54:D57,'Input General'!D73:D76)*'Input Global'!D18</f>
        <v>1239</v>
      </c>
      <c r="E14" s="107">
        <f>'Input General'!E53+SUMPRODUCT('Input General'!E54:E57,'Input General'!E73:E76)*'Input Global'!E18</f>
        <v>1387.2333760439487</v>
      </c>
      <c r="F14" s="107">
        <f>'Input General'!F53+SUMPRODUCT('Input General'!F54:F57,'Input General'!F73:F76)*'Input Global'!F18</f>
        <v>2746.0440325500003</v>
      </c>
      <c r="G14" s="107">
        <f>'Input General'!G53+SUMPRODUCT('Input General'!G54:G57,'Input General'!G73:G76)*'Input Global'!G18</f>
        <v>3389.71675377972</v>
      </c>
      <c r="H14" s="107">
        <f>'Input General'!H53+SUMPRODUCT('Input General'!H54:H57,'Input General'!H73:H76)*'Input Global'!H18</f>
        <v>3389.71675377972</v>
      </c>
    </row>
    <row r="15" spans="1:16" x14ac:dyDescent="0.3">
      <c r="A15" s="11" t="str">
        <f>'Calc (Jurisdiction)'!A15</f>
        <v>Carbon costs</v>
      </c>
      <c r="C15" t="s">
        <v>63</v>
      </c>
      <c r="D15" s="107">
        <f ca="1">VLOOKUP($B$2,'Input General'!$A$176:$H$180, COLUMN('Input General'!D176),FALSE)*'Input Global'!D$18</f>
        <v>0</v>
      </c>
      <c r="E15" s="107">
        <f ca="1">VLOOKUP($B$2,'Input General'!$A$176:$H$180, COLUMN('Input General'!E176),FALSE)*'Input Global'!E$18</f>
        <v>0</v>
      </c>
      <c r="F15" s="107">
        <f ca="1">VLOOKUP($B$2,'Input General'!$A$176:$H$180, COLUMN('Input General'!F176),FALSE)*'Input Global'!F$18</f>
        <v>14299.774999999998</v>
      </c>
      <c r="G15" s="107">
        <f ca="1">VLOOKUP($B$2,'Input General'!$A$176:$H$180, COLUMN('Input General'!G176),FALSE)*'Input Global'!G$18</f>
        <v>16001.465518041858</v>
      </c>
      <c r="H15" s="107">
        <f ca="1">VLOOKUP($B$2,'Input General'!$A$176:$H$180, COLUMN('Input General'!H176),FALSE)*'Input Global'!H$18</f>
        <v>15362.010767167973</v>
      </c>
      <c r="I15" s="10"/>
    </row>
    <row r="16" spans="1:16" x14ac:dyDescent="0.3">
      <c r="A16" s="11" t="str">
        <f>'Calc (Jurisdiction)'!A16</f>
        <v>Large Scale Renewable Energy Target</v>
      </c>
      <c r="C16" t="s">
        <v>63</v>
      </c>
      <c r="D16" s="107">
        <f ca="1">VLOOKUP($B$2,'Input General'!$A215:$H220,COLUMN(D16),FALSE)*'Input Global'!D18</f>
        <v>1288</v>
      </c>
      <c r="E16" s="107">
        <f ca="1">VLOOKUP($B$2,'Input General'!$A215:$H220,COLUMN(E16),FALSE)*'Input Global'!E18</f>
        <v>1915.7249999999997</v>
      </c>
      <c r="F16" s="107">
        <f ca="1">VLOOKUP($B$2,'Input General'!$A215:$H220,COLUMN(F16),FALSE)*'Input Global'!F18</f>
        <v>3178.5249999999996</v>
      </c>
      <c r="G16" s="107">
        <f ca="1">VLOOKUP($B$2,'Input General'!$A215:$H220,COLUMN(G16),FALSE)*'Input Global'!G18</f>
        <v>3405.9692485926021</v>
      </c>
      <c r="H16" s="107">
        <f ca="1">VLOOKUP($B$2,'Input General'!$A215:$H220,COLUMN(H16),FALSE)*'Input Global'!H18</f>
        <v>3606.7734894601358</v>
      </c>
      <c r="I16" s="10"/>
    </row>
    <row r="17" spans="1:9" x14ac:dyDescent="0.3">
      <c r="A17" s="11" t="str">
        <f>'Calc (Jurisdiction)'!A17</f>
        <v>Small Scale Renewable Energy Scheme</v>
      </c>
      <c r="C17" t="s">
        <v>63</v>
      </c>
      <c r="D17" s="107">
        <f ca="1">'Input General'!D91*'Input Global'!D18</f>
        <v>0</v>
      </c>
      <c r="E17" s="107">
        <f ca="1">'Input General'!E91*'Input Global'!E18</f>
        <v>4340.8749999999991</v>
      </c>
      <c r="F17" s="107">
        <f ca="1">'Input General'!F91*'Input Global'!F18</f>
        <v>3852.9749999999995</v>
      </c>
      <c r="G17" s="107">
        <f ca="1">'Input General'!G91*'Input Global'!G18</f>
        <v>1695.7921316614418</v>
      </c>
      <c r="H17" s="107">
        <f ca="1">'Input General'!H91*'Input Global'!H18</f>
        <v>1473.5515673981197</v>
      </c>
      <c r="I17" s="10"/>
    </row>
    <row r="18" spans="1:9" x14ac:dyDescent="0.3">
      <c r="A18" s="11" t="str">
        <f>'Calc (Jurisdiction)'!A18</f>
        <v>Energy savings</v>
      </c>
      <c r="C18" t="s">
        <v>63</v>
      </c>
      <c r="D18" s="107">
        <f ca="1">VLOOKUP($B$2,'Input General'!$A$103:$H$107,COLUMN(D18),FALSE)*'Input Global'!D$18</f>
        <v>503.99999999999994</v>
      </c>
      <c r="E18" s="107">
        <f ca="1">VLOOKUP($B$2,'Input General'!$A$103:$H$107,COLUMN(E18),FALSE)*'Input Global'!E$18</f>
        <v>782.07500000000005</v>
      </c>
      <c r="F18" s="107">
        <f ca="1">VLOOKUP($B$2,'Input General'!$A$103:$H$107,COLUMN(F18),FALSE)*'Input Global'!F$18</f>
        <v>1085</v>
      </c>
      <c r="G18" s="107">
        <f ca="1">VLOOKUP($B$2,'Input General'!$A$103:$H$107,COLUMN(G18),FALSE)*'Input Global'!G$18</f>
        <v>0</v>
      </c>
      <c r="H18" s="107">
        <f ca="1">VLOOKUP($B$2,'Input General'!$A$103:$H$107,COLUMN(H18),FALSE)*'Input Global'!H$18</f>
        <v>0</v>
      </c>
      <c r="I18" s="10"/>
    </row>
    <row r="19" spans="1:9" x14ac:dyDescent="0.3">
      <c r="A19" s="11" t="str">
        <f>'Calc (Jurisdiction)'!A19</f>
        <v>Blank</v>
      </c>
      <c r="C19" t="s">
        <v>63</v>
      </c>
      <c r="D19" s="107">
        <f ca="1">VLOOKUP($B$2,'Input General'!$A$123:$H$127,COLUMN(D19),FALSE)*'Input Global'!D$18</f>
        <v>0</v>
      </c>
      <c r="E19" s="107">
        <f ca="1">VLOOKUP($B$2,'Input General'!$A$123:$H$127,COLUMN(E19),FALSE)*'Input Global'!E$18</f>
        <v>0</v>
      </c>
      <c r="F19" s="107">
        <f ca="1">VLOOKUP($B$2,'Input General'!$A$123:$H$127,COLUMN(F19),FALSE)*'Input Global'!F$18</f>
        <v>0</v>
      </c>
      <c r="G19" s="107">
        <f ca="1">VLOOKUP($B$2,'Input General'!$A$123:$H$127,COLUMN(G19),FALSE)*'Input Global'!G$18</f>
        <v>0</v>
      </c>
      <c r="H19" s="107">
        <f ca="1">VLOOKUP($B$2,'Input General'!$A$123:$H$127,COLUMN(H19),FALSE)*'Input Global'!H$18</f>
        <v>0</v>
      </c>
      <c r="I19" s="10"/>
    </row>
    <row r="20" spans="1:9" x14ac:dyDescent="0.3">
      <c r="A20" s="15" t="s">
        <v>61</v>
      </c>
      <c r="B20" s="12"/>
      <c r="C20" s="12" t="s">
        <v>63</v>
      </c>
      <c r="D20" s="107">
        <f ca="1">SUM(D8:D19)</f>
        <v>148520.43726811494</v>
      </c>
      <c r="E20" s="107">
        <f t="shared" ref="E20:H20" ca="1" si="0">SUM(E8:E19)</f>
        <v>170012.80306447696</v>
      </c>
      <c r="F20" s="107">
        <f t="shared" ca="1" si="0"/>
        <v>206759.31321856569</v>
      </c>
      <c r="G20" s="107">
        <f t="shared" ca="1" si="0"/>
        <v>203795.49908577264</v>
      </c>
      <c r="H20" s="107">
        <f t="shared" ca="1" si="0"/>
        <v>210072.44297032707</v>
      </c>
    </row>
    <row r="21" spans="1:9" x14ac:dyDescent="0.3">
      <c r="D21" s="102"/>
    </row>
    <row r="22" spans="1:9" x14ac:dyDescent="0.3">
      <c r="A22" s="8" t="str">
        <f>Dist2</f>
        <v>Essential</v>
      </c>
    </row>
    <row r="23" spans="1:9" x14ac:dyDescent="0.3">
      <c r="A23" t="str">
        <f>A8</f>
        <v>Wholesale</v>
      </c>
      <c r="C23" t="s">
        <v>63</v>
      </c>
      <c r="D23" s="107">
        <f ca="1">IF(LEFT($A$22,5)="blank",0,VLOOKUP($B$2,dist2wholesale,COLUMN(D8),FALSE)*'Input Global'!D19)</f>
        <v>50813</v>
      </c>
      <c r="E23" s="107">
        <f ca="1">IF(LEFT($A$22,5)="blank",0,VLOOKUP($B$2,dist2wholesale,COLUMN(E8),FALSE)*'Input Global'!E19)</f>
        <v>49917</v>
      </c>
      <c r="F23" s="107">
        <f ca="1">IF(LEFT($A$22,5)="blank",0,VLOOKUP($B$2,dist2wholesale,COLUMN(F8),FALSE)*'Input Global'!F19)</f>
        <v>52210.365550000002</v>
      </c>
      <c r="G23" s="107">
        <f ca="1">IF(LEFT($A$22,5)="blank",0,VLOOKUP($B$2,dist2wholesale,COLUMN(G8),FALSE)*'Input Global'!G19)</f>
        <v>44198.403672169567</v>
      </c>
      <c r="H23" s="107">
        <f ca="1">IF(LEFT($A$22,5)="blank",0,VLOOKUP($B$2,dist2wholesale,COLUMN(H8),FALSE)*'Input Global'!H19)</f>
        <v>45943.38303463925</v>
      </c>
    </row>
    <row r="24" spans="1:9" x14ac:dyDescent="0.3">
      <c r="A24" t="str">
        <f t="shared" ref="A24:A34" si="1">A9</f>
        <v>Transmission</v>
      </c>
      <c r="C24" t="s">
        <v>63</v>
      </c>
      <c r="D24" s="107">
        <f>IF(LEFT($A$22,5)="blank",0,'Input General'!D14+(SUMPRODUCT('Input General'!D15:D18,'Input General'!D78:D81)*'Input Global'!D19))</f>
        <v>14833.721625305587</v>
      </c>
      <c r="E24" s="107">
        <f>IF(LEFT($A$22,5)="blank",0,'Input General'!E14+(SUMPRODUCT('Input General'!E15:E18,'Input General'!E78:E81)*'Input Global'!E19))</f>
        <v>17812.2</v>
      </c>
      <c r="F24" s="107">
        <f>IF(LEFT($A$22,5)="blank",0,'Input General'!F14+(SUMPRODUCT('Input General'!F15:F18,'Input General'!F78:F81)*'Input Global'!F19))</f>
        <v>19373.491992677085</v>
      </c>
      <c r="G24" s="107">
        <f>IF(LEFT($A$22,5)="blank",0,'Input General'!G14+(SUMPRODUCT('Input General'!G15:G18,'Input General'!G78:G81)*'Input Global'!G19))</f>
        <v>20723.175410872456</v>
      </c>
      <c r="H24" s="107">
        <f>IF(LEFT($A$22,5)="blank",0,'Input General'!H14+(SUMPRODUCT('Input General'!H15:H18,'Input General'!H78:H81)*'Input Global'!H19))</f>
        <v>22166.886551588894</v>
      </c>
    </row>
    <row r="25" spans="1:9" x14ac:dyDescent="0.3">
      <c r="A25" t="str">
        <f t="shared" si="1"/>
        <v>Distribution</v>
      </c>
      <c r="C25" t="s">
        <v>63</v>
      </c>
      <c r="D25" s="107">
        <f>IF(LEFT($A$22,5)="blank",0,'Input General'!D34+SUMPRODUCT('Input General'!D35:D38,'Input General'!D78:D81)*'Input Global'!D19+'Input General'!D48)</f>
        <v>89723.450000000303</v>
      </c>
      <c r="E25" s="107">
        <f>IF(LEFT($A$22,5)="blank",0,'Input General'!E34+SUMPRODUCT('Input General'!E35:E38,'Input General'!E78:E81)*'Input Global'!E19+'Input General'!E48)</f>
        <v>109620.68</v>
      </c>
      <c r="F25" s="107">
        <f>IF(LEFT($A$22,5)="blank",0,'Input General'!F34+SUMPRODUCT('Input General'!F35:F38,'Input General'!F78:F81)*'Input Global'!F19+'Input General'!F48)</f>
        <v>131321.078752</v>
      </c>
      <c r="G25" s="107">
        <f>IF(LEFT($A$22,5)="blank",0,'Input General'!G34+SUMPRODUCT('Input General'!G35:G38,'Input General'!G78:G81)*'Input Global'!G19+'Input General'!G48)</f>
        <v>128670.07656065673</v>
      </c>
      <c r="H25" s="107">
        <f>IF(LEFT($A$22,5)="blank",0,'Input General'!H34+SUMPRODUCT('Input General'!H35:H38,'Input General'!H78:H81)*'Input Global'!H19+'Input General'!H48)</f>
        <v>131956.28270434189</v>
      </c>
    </row>
    <row r="26" spans="1:9" x14ac:dyDescent="0.3">
      <c r="A26" t="str">
        <f t="shared" si="1"/>
        <v>Retail</v>
      </c>
      <c r="C26" t="s">
        <v>63</v>
      </c>
      <c r="D26" s="107">
        <f>IF(LEFT($A$22,5)="blank",0,'Input General'!D94*'Input Global'!D19)</f>
        <v>9240</v>
      </c>
      <c r="E26" s="107">
        <f>IF(LEFT($A$22,5)="blank",0,'Input General'!E94*'Input Global'!E19)</f>
        <v>10010</v>
      </c>
      <c r="F26" s="107">
        <f>IF(LEFT($A$22,5)="blank",0,'Input General'!F94*'Input Global'!F19)</f>
        <v>10475.499999999998</v>
      </c>
      <c r="G26" s="107">
        <f>IF(LEFT($A$22,5)="blank",0,'Input General'!G94*'Input Global'!G19)</f>
        <v>10737.387499999999</v>
      </c>
      <c r="H26" s="107">
        <f>IF(LEFT($A$22,5)="blank",0,'Input General'!H94*'Input Global'!H19)</f>
        <v>11005.822187499998</v>
      </c>
    </row>
    <row r="27" spans="1:9" x14ac:dyDescent="0.3">
      <c r="A27" t="str">
        <f t="shared" si="1"/>
        <v>Retail and Residual</v>
      </c>
      <c r="C27" t="s">
        <v>63</v>
      </c>
      <c r="D27" s="107">
        <f ca="1">IF(LEFT($A$22,5)="blank",0,VLOOKUP($B$2,'Input General'!$A$149:$H$153,COLUMN(D12),FALSE)*'Input Global'!D$34)</f>
        <v>9049.1933894091344</v>
      </c>
      <c r="E27" s="107">
        <f ca="1">IF(LEFT($A$22,5)="blank",0,VLOOKUP($B$2,'Input General'!$A$149:$H$153,COLUMN(E12),FALSE)*'Input Global'!E$34)</f>
        <v>10568.43477</v>
      </c>
      <c r="F27" s="107">
        <f ca="1">IF(LEFT($A$22,5)="blank",0,VLOOKUP($B$2,'Input General'!$A$149:$H$153,COLUMN(F12),FALSE)*'Input Global'!F$34)</f>
        <v>12860.670208717282</v>
      </c>
      <c r="G27" s="107">
        <f ca="1">IF(LEFT($A$22,5)="blank",0,VLOOKUP($B$2,'Input General'!$A$149:$H$153,COLUMN(G12),FALSE)*'Input Global'!G$34)</f>
        <v>12319.786769301818</v>
      </c>
      <c r="H27" s="107">
        <f ca="1">IF(LEFT($A$22,5)="blank",0,VLOOKUP($B$2,'Input General'!$A$149:$H$153,COLUMN(H12),FALSE)*'Input Global'!H$34)</f>
        <v>12641.908730638217</v>
      </c>
    </row>
    <row r="28" spans="1:9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x14ac:dyDescent="0.3">
      <c r="A29" s="11" t="str">
        <f t="shared" si="1"/>
        <v>Feed-in Tariffs</v>
      </c>
      <c r="C29" t="s">
        <v>63</v>
      </c>
      <c r="D29" s="107">
        <f>IF(LEFT($A$22,5)="blank",0,'Input General'!D59+SUMPRODUCT('Input General'!D60:D63,'Input General'!D78:D81)*'Input Global'!D19)</f>
        <v>1175.4837341225127</v>
      </c>
      <c r="E29" s="107">
        <f>IF(LEFT($A$22,5)="blank",0,'Input General'!E59+SUMPRODUCT('Input General'!E60:E63,'Input General'!E78:E81)*'Input Global'!E19)</f>
        <v>1255.8</v>
      </c>
      <c r="F29" s="107">
        <f>IF(LEFT($A$22,5)="blank",0,'Input General'!F59+SUMPRODUCT('Input General'!F60:F63,'Input General'!F78:F81)*'Input Global'!F19)</f>
        <v>2250.6231260133077</v>
      </c>
      <c r="G29" s="107">
        <f>IF(LEFT($A$22,5)="blank",0,'Input General'!G59+SUMPRODUCT('Input General'!G60:G63,'Input General'!G78:G81)*'Input Global'!G19)</f>
        <v>2778.1691867508275</v>
      </c>
      <c r="H29" s="107">
        <f>IF(LEFT($A$22,5)="blank",0,'Input General'!H59+SUMPRODUCT('Input General'!H60:H63,'Input General'!H78:H81)*'Input Global'!H19)</f>
        <v>2778.1691867508275</v>
      </c>
    </row>
    <row r="30" spans="1:9" x14ac:dyDescent="0.3">
      <c r="A30" s="11" t="str">
        <f t="shared" si="1"/>
        <v>Carbon costs</v>
      </c>
      <c r="C30" t="s">
        <v>63</v>
      </c>
      <c r="D30" s="107">
        <f ca="1">IF(LEFT($A$22,5)="blank",0,VLOOKUP($B$2,'Input General'!$A$182:$H$186,COLUMN('Input General'!D182),FALSE)*'Input Global'!D$19)</f>
        <v>0</v>
      </c>
      <c r="E30" s="107">
        <f ca="1">IF(LEFT($A$22,5)="blank",0,VLOOKUP($B$2,'Input General'!$A$182:$H$186,COLUMN('Input General'!E182),FALSE)*'Input Global'!E$19)</f>
        <v>0</v>
      </c>
      <c r="F30" s="107">
        <f ca="1">IF(LEFT($A$22,5)="blank",0,VLOOKUP($B$2,'Input General'!$A$182:$H$186,COLUMN('Input General'!F182),FALSE)*'Input Global'!F$19)</f>
        <v>14235.199999999999</v>
      </c>
      <c r="G30" s="107">
        <f ca="1">IF(LEFT($A$22,5)="blank",0,VLOOKUP($B$2,'Input General'!$A$182:$H$186,COLUMN('Input General'!G182),FALSE)*'Input Global'!G$19)</f>
        <v>15851.747710166617</v>
      </c>
      <c r="H30" s="107">
        <f ca="1">IF(LEFT($A$22,5)="blank",0,VLOOKUP($B$2,'Input General'!$A$182:$H$186,COLUMN('Input General'!H182),FALSE)*'Input Global'!H$19)</f>
        <v>15104.553461894951</v>
      </c>
      <c r="I30" s="10"/>
    </row>
    <row r="31" spans="1:9" x14ac:dyDescent="0.3">
      <c r="A31" s="11" t="str">
        <f t="shared" si="1"/>
        <v>Large Scale Renewable Energy Target</v>
      </c>
      <c r="C31" t="s">
        <v>63</v>
      </c>
      <c r="D31" s="107">
        <f ca="1">IF(LEFT($A$22,5)="blank",0,VLOOKUP($B$2,'Input General'!$A221:$H226,COLUMN(D16),FALSE)*'Input Global'!D19)</f>
        <v>1288</v>
      </c>
      <c r="E31" s="107">
        <f ca="1">IF(LEFT($A$22,5)="blank",0,VLOOKUP($B$2,'Input General'!$A221:$H226,COLUMN(E16),FALSE)*'Input Global'!E19)</f>
        <v>1901.3749999999995</v>
      </c>
      <c r="F31" s="107">
        <f ca="1">IF(LEFT($A$22,5)="blank",0,VLOOKUP($B$2,'Input General'!$A221:$H226,COLUMN(F16),FALSE)*'Input Global'!F19)</f>
        <v>3185.7</v>
      </c>
      <c r="G31" s="107">
        <f ca="1">IF(LEFT($A$22,5)="blank",0,VLOOKUP($B$2,'Input General'!$A221:$H226,COLUMN(G16),FALSE)*'Input Global'!G19)</f>
        <v>3413.657666760982</v>
      </c>
      <c r="H31" s="107">
        <f ca="1">IF(LEFT($A$22,5)="blank",0,VLOOKUP($B$2,'Input General'!$A221:$H226,COLUMN(H16),FALSE)*'Input Global'!H19)</f>
        <v>3614.9151903392785</v>
      </c>
      <c r="I31" s="10"/>
    </row>
    <row r="32" spans="1:9" x14ac:dyDescent="0.3">
      <c r="A32" s="11" t="str">
        <f t="shared" si="1"/>
        <v>Small Scale Renewable Energy Scheme</v>
      </c>
      <c r="C32" t="s">
        <v>63</v>
      </c>
      <c r="D32" s="107">
        <f ca="1">IF(LEFT($A$22,5)="blank",0,'Input General'!D95*'Input Global'!D$19)</f>
        <v>0</v>
      </c>
      <c r="E32" s="107">
        <f ca="1">IF(LEFT($A$22,5)="blank",0,'Input General'!E95*'Input Global'!E$19)</f>
        <v>4412.625</v>
      </c>
      <c r="F32" s="107">
        <f ca="1">IF(LEFT($A$22,5)="blank",0,'Input General'!F95*'Input Global'!F$19)</f>
        <v>4025.1750000000002</v>
      </c>
      <c r="G32" s="107">
        <f ca="1">IF(LEFT($A$22,5)="blank",0,'Input General'!G95*'Input Global'!G$19)</f>
        <v>1771.5817241379309</v>
      </c>
      <c r="H32" s="107">
        <f ca="1">IF(LEFT($A$22,5)="blank",0,'Input General'!H95*'Input Global'!H$19)</f>
        <v>1539.4086206896557</v>
      </c>
      <c r="I32" s="10"/>
    </row>
    <row r="33" spans="1:9" x14ac:dyDescent="0.3">
      <c r="A33" s="11" t="str">
        <f t="shared" si="1"/>
        <v>Energy savings</v>
      </c>
      <c r="C33" t="s">
        <v>63</v>
      </c>
      <c r="D33" s="107">
        <f ca="1">IF(LEFT($A$22,5)="blank",0,VLOOKUP($B$2,'Input General'!$A$109:$H$113,COLUMN(D33),FALSE)*'Input Global'!D$19)</f>
        <v>503.99999999999994</v>
      </c>
      <c r="E33" s="107">
        <f ca="1">IF(LEFT($A$22,5)="blank",0,VLOOKUP($B$2,'Input General'!$A$109:$H$113,COLUMN(E33),FALSE)*'Input Global'!E$19)</f>
        <v>782.07500000000005</v>
      </c>
      <c r="F33" s="107">
        <f ca="1">IF(LEFT($A$22,5)="blank",0,VLOOKUP($B$2,'Input General'!$A$109:$H$113,COLUMN(F33),FALSE)*'Input Global'!F$19)</f>
        <v>1083.425</v>
      </c>
      <c r="G33" s="107">
        <f ca="1">IF(LEFT($A$22,5)="blank",0,VLOOKUP($B$2,'Input General'!$A$109:$H$113,COLUMN(G33),FALSE)*'Input Global'!G$19)</f>
        <v>0</v>
      </c>
      <c r="H33" s="107">
        <f ca="1">IF(LEFT($A$22,5)="blank",0,VLOOKUP($B$2,'Input General'!$A$109:$H$113,COLUMN(H33),FALSE)*'Input Global'!H$19)</f>
        <v>0</v>
      </c>
      <c r="I33" s="10"/>
    </row>
    <row r="34" spans="1:9" x14ac:dyDescent="0.3">
      <c r="A34" s="11" t="str">
        <f t="shared" si="1"/>
        <v>Blank</v>
      </c>
      <c r="C34" t="s">
        <v>63</v>
      </c>
      <c r="D34" s="107">
        <f ca="1">IF(LEFT($A$22,5)="blank",0,VLOOKUP($B$2,'Input General'!$A$129:$H$133,COLUMN(D34),FALSE)*'Input Global'!D$19)</f>
        <v>0</v>
      </c>
      <c r="E34" s="107">
        <f ca="1">IF(LEFT($A$22,5)="blank",0,VLOOKUP($B$2,'Input General'!$A$129:$H$133,COLUMN(E34),FALSE)*'Input Global'!E$19)</f>
        <v>0</v>
      </c>
      <c r="F34" s="107">
        <f ca="1">IF(LEFT($A$22,5)="blank",0,VLOOKUP($B$2,'Input General'!$A$129:$H$133,COLUMN(F34),FALSE)*'Input Global'!F$19)</f>
        <v>0</v>
      </c>
      <c r="G34" s="107">
        <f ca="1">IF(LEFT($A$22,5)="blank",0,VLOOKUP($B$2,'Input General'!$A$129:$H$133,COLUMN(G34),FALSE)*'Input Global'!G$19)</f>
        <v>0</v>
      </c>
      <c r="H34" s="107">
        <f ca="1">IF(LEFT($A$22,5)="blank",0,VLOOKUP($B$2,'Input General'!$A$129:$H$133,COLUMN(H34),FALSE)*'Input Global'!H$19)</f>
        <v>0</v>
      </c>
      <c r="I34" s="10"/>
    </row>
    <row r="35" spans="1:9" x14ac:dyDescent="0.3">
      <c r="A35" s="12" t="s">
        <v>61</v>
      </c>
      <c r="B35" s="12"/>
      <c r="C35" s="12" t="s">
        <v>63</v>
      </c>
      <c r="D35" s="107">
        <f ca="1">SUM(D23:D34)</f>
        <v>176626.84874883754</v>
      </c>
      <c r="E35" s="107">
        <f t="shared" ref="E35:H35" ca="1" si="2">SUM(E23:E34)</f>
        <v>206280.18977</v>
      </c>
      <c r="F35" s="107">
        <f t="shared" ca="1" si="2"/>
        <v>251021.2296294077</v>
      </c>
      <c r="G35" s="107">
        <f t="shared" ca="1" si="2"/>
        <v>240463.98620081696</v>
      </c>
      <c r="H35" s="107">
        <f t="shared" ca="1" si="2"/>
        <v>246751.32966838297</v>
      </c>
    </row>
    <row r="37" spans="1:9" x14ac:dyDescent="0.3">
      <c r="A37" s="8" t="str">
        <f>Dist3</f>
        <v>Endeavour</v>
      </c>
    </row>
    <row r="38" spans="1:9" x14ac:dyDescent="0.3">
      <c r="A38" t="str">
        <f>A23</f>
        <v>Wholesale</v>
      </c>
      <c r="C38" t="s">
        <v>63</v>
      </c>
      <c r="D38" s="107">
        <f ca="1">IF(LEFT($A$37,5)="blank",0,VLOOKUP($B$2,dist3wholesale,COLUMN(D38),FALSE)*'Input Global'!D20)</f>
        <v>54537</v>
      </c>
      <c r="E38" s="107">
        <f ca="1">IF(LEFT($A$37,5)="blank",0,VLOOKUP($B$2,dist3wholesale,COLUMN(E38),FALSE)*'Input Global'!E20)</f>
        <v>54831</v>
      </c>
      <c r="F38" s="107">
        <f ca="1">IF(LEFT($A$37,5)="blank",0,VLOOKUP($B$2,dist3wholesale,COLUMN(F38),FALSE)*'Input Global'!F20)</f>
        <v>55885.2</v>
      </c>
      <c r="G38" s="107">
        <f ca="1">IF(LEFT($A$37,5)="blank",0,VLOOKUP($B$2,dist3wholesale,COLUMN(G38),FALSE)*'Input Global'!G20)</f>
        <v>49194.832901299415</v>
      </c>
      <c r="H38" s="107">
        <f ca="1">IF(LEFT($A$37,5)="blank",0,VLOOKUP($B$2,dist3wholesale,COLUMN(H38),FALSE)*'Input Global'!H20)</f>
        <v>51177.14002109717</v>
      </c>
    </row>
    <row r="39" spans="1:9" x14ac:dyDescent="0.3">
      <c r="A39" t="str">
        <f t="shared" ref="A39:A49" si="3">A24</f>
        <v>Transmission</v>
      </c>
      <c r="C39" t="s">
        <v>63</v>
      </c>
      <c r="D39" s="107">
        <f>IF(LEFT($A$37,5)="blank",0,'Input General'!D20+(SUMPRODUCT('Input General'!D21:D24,'Input General'!D83:D86)*'Input Global'!D$20))</f>
        <v>8745.7830217251831</v>
      </c>
      <c r="E39" s="107">
        <f>IF(LEFT($A$37,5)="blank",0,'Input General'!E20+(SUMPRODUCT('Input General'!E21:E24,'Input General'!E83:E86)*'Input Global'!E$20))</f>
        <v>8809.520747888615</v>
      </c>
      <c r="F39" s="107">
        <f>IF(LEFT($A$37,5)="blank",0,'Input General'!F20+(SUMPRODUCT('Input General'!F21:F24,'Input General'!F83:F86)*'Input Global'!F$20))</f>
        <v>9954.4943532067391</v>
      </c>
      <c r="G39" s="107">
        <f>IF(LEFT($A$37,5)="blank",0,'Input General'!G20+(SUMPRODUCT('Input General'!G21:G24,'Input General'!G83:G86)*'Input Global'!G$20))</f>
        <v>10647.989153737328</v>
      </c>
      <c r="H39" s="107">
        <f>IF(LEFT($A$37,5)="blank",0,'Input General'!H20+(SUMPRODUCT('Input General'!H21:H24,'Input General'!H83:H86)*'Input Global'!H$20))</f>
        <v>11389.797311159626</v>
      </c>
    </row>
    <row r="40" spans="1:9" x14ac:dyDescent="0.3">
      <c r="A40" t="str">
        <f t="shared" si="3"/>
        <v>Distribution</v>
      </c>
      <c r="C40" t="s">
        <v>63</v>
      </c>
      <c r="D40" s="107">
        <f>IF(LEFT($A$37,5)="blank",0,'Input General'!D40+SUMPRODUCT('Input General'!D41:D44,'Input General'!D83:D86)*'Input Global'!D$20+'Input General'!D49)</f>
        <v>67530.028345028171</v>
      </c>
      <c r="E40" s="107">
        <f>IF(LEFT($A$37,5)="blank",0,'Input General'!E40+SUMPRODUCT('Input General'!E41:E44,'Input General'!E83:E86)*'Input Global'!E$20+'Input General'!E49)</f>
        <v>78929.222741037331</v>
      </c>
      <c r="F40" s="107">
        <f>IF(LEFT($A$37,5)="blank",0,'Input General'!F40+SUMPRODUCT('Input General'!F41:F44,'Input General'!F83:F86)*'Input Global'!F$20+'Input General'!F49)</f>
        <v>56892.195610554503</v>
      </c>
      <c r="G40" s="107">
        <f>IF(LEFT($A$37,5)="blank",0,'Input General'!G40+SUMPRODUCT('Input General'!G41:G44,'Input General'!G83:G86)*'Input Global'!G$20+'Input General'!G49)</f>
        <v>51078.609472204276</v>
      </c>
      <c r="H40" s="107">
        <f>IF(LEFT($A$37,5)="blank",0,'Input General'!H40+SUMPRODUCT('Input General'!H41:H44,'Input General'!H83:H86)*'Input Global'!H$20+'Input General'!H49)</f>
        <v>53202.805149009386</v>
      </c>
    </row>
    <row r="41" spans="1:9" x14ac:dyDescent="0.3">
      <c r="A41" t="str">
        <f t="shared" si="3"/>
        <v>Retail</v>
      </c>
      <c r="C41" t="s">
        <v>63</v>
      </c>
      <c r="D41" s="107">
        <f>IF(LEFT($A$37,5)="blank",0,'Input General'!D98*'Input Global'!D$20)</f>
        <v>7980.0000000000009</v>
      </c>
      <c r="E41" s="107">
        <f>IF(LEFT($A$37,5)="blank",0,'Input General'!E98*'Input Global'!E$20)</f>
        <v>9240</v>
      </c>
      <c r="F41" s="107">
        <f>IF(LEFT($A$37,5)="blank",0,'Input General'!F98*'Input Global'!F$20)</f>
        <v>9686.2499999999982</v>
      </c>
      <c r="G41" s="107">
        <f>IF(LEFT($A$37,5)="blank",0,'Input General'!G98*'Input Global'!G$20)</f>
        <v>9928.4062499999964</v>
      </c>
      <c r="H41" s="107">
        <f>IF(LEFT($A$37,5)="blank",0,'Input General'!H98*'Input Global'!H$20)</f>
        <v>10176.616406249996</v>
      </c>
    </row>
    <row r="42" spans="1:9" x14ac:dyDescent="0.3">
      <c r="A42" t="str">
        <f t="shared" si="3"/>
        <v>Retail and Residual</v>
      </c>
      <c r="C42" t="s">
        <v>63</v>
      </c>
      <c r="D42" s="107">
        <f ca="1">IF(LEFT($A$37,5)="blank",0,VLOOKUP($B$2,'Input General'!$A$155:$H$159,COLUMN(D27),FALSE)*'Input Global'!D$35)</f>
        <v>7677.6882138046822</v>
      </c>
      <c r="E42" s="107">
        <f ca="1">IF(LEFT($A$37,5)="blank",0,VLOOKUP($B$2,'Input General'!$A$155:$H$159,COLUMN(E27),FALSE)*'Input Global'!E$35)</f>
        <v>8664.5364347825889</v>
      </c>
      <c r="F42" s="107">
        <f ca="1">IF(LEFT($A$37,5)="blank",0,VLOOKUP($B$2,'Input General'!$A$155:$H$159,COLUMN(F27),FALSE)*'Input Global'!F$35)</f>
        <v>9839.6715580431064</v>
      </c>
      <c r="G42" s="107">
        <f ca="1">IF(LEFT($A$37,5)="blank",0,VLOOKUP($B$2,'Input General'!$A$155:$H$159,COLUMN(G27),FALSE)*'Input Global'!G$35)</f>
        <v>9482.1799963344074</v>
      </c>
      <c r="H42" s="107">
        <f ca="1">IF(LEFT($A$37,5)="blank",0,VLOOKUP($B$2,'Input General'!$A$155:$H$159,COLUMN(H27),FALSE)*'Input Global'!H$35)</f>
        <v>9715.0483914419001</v>
      </c>
    </row>
    <row r="43" spans="1:9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x14ac:dyDescent="0.3">
      <c r="A44" s="11" t="str">
        <f t="shared" si="3"/>
        <v>Feed-in Tariffs</v>
      </c>
      <c r="C44" t="s">
        <v>63</v>
      </c>
      <c r="D44" s="107">
        <f>IF(LEFT($A$37,5)="blank",0,'Input General'!D65+SUMPRODUCT('Input General'!D66:D69,'Input General'!D83:D86)*'Input Global'!D$20)</f>
        <v>1594.6</v>
      </c>
      <c r="E44" s="107">
        <f>IF(LEFT($A$37,5)="blank",0,'Input General'!E65+SUMPRODUCT('Input General'!E66:E69,'Input General'!E83:E86)*'Input Global'!E$20)</f>
        <v>1605.9599329738458</v>
      </c>
      <c r="F44" s="107">
        <f>IF(LEFT($A$37,5)="blank",0,'Input General'!F65+SUMPRODUCT('Input General'!F66:F69,'Input General'!F83:F86)*'Input Global'!F$20)</f>
        <v>27453.999999999996</v>
      </c>
      <c r="G44" s="107">
        <f>IF(LEFT($A$37,5)="blank",0,'Input General'!G65+SUMPRODUCT('Input General'!G66:G69,'Input General'!G83:G86)*'Input Global'!G$20)</f>
        <v>33889.217599999989</v>
      </c>
      <c r="H44" s="107">
        <f>IF(LEFT($A$37,5)="blank",0,'Input General'!H65+SUMPRODUCT('Input General'!H66:H69,'Input General'!H83:H86)*'Input Global'!H$20)</f>
        <v>33889.217599999989</v>
      </c>
    </row>
    <row r="45" spans="1:9" x14ac:dyDescent="0.3">
      <c r="A45" s="11" t="str">
        <f t="shared" si="3"/>
        <v>Carbon costs</v>
      </c>
      <c r="C45" t="s">
        <v>63</v>
      </c>
      <c r="D45" s="107">
        <f ca="1">IF(LEFT($A$37,5)="blank",0,VLOOKUP($B$2,'Input General'!$A$188:$H$192,COLUMN('Input General'!D188),FALSE)*'Input Global'!D$20)</f>
        <v>0</v>
      </c>
      <c r="E45" s="107">
        <f ca="1">IF(LEFT($A$37,5)="blank",0,VLOOKUP($B$2,'Input General'!$A$188:$H$192,COLUMN('Input General'!E188),FALSE)*'Input Global'!E$20)</f>
        <v>0</v>
      </c>
      <c r="F45" s="107">
        <f ca="1">IF(LEFT($A$37,5)="blank",0,VLOOKUP($B$2,'Input General'!$A$188:$H$192,COLUMN('Input General'!F188),FALSE)*'Input Global'!F$20)</f>
        <v>14097.999999999998</v>
      </c>
      <c r="G45" s="107">
        <f ca="1">IF(LEFT($A$37,5)="blank",0,VLOOKUP($B$2,'Input General'!$A$188:$H$192,COLUMN('Input General'!G188),FALSE)*'Input Global'!G$20)</f>
        <v>15685.184309564129</v>
      </c>
      <c r="H45" s="107">
        <f ca="1">IF(LEFT($A$37,5)="blank",0,VLOOKUP($B$2,'Input General'!$A$188:$H$192,COLUMN('Input General'!H188),FALSE)*'Input Global'!H$20)</f>
        <v>14927.472285125186</v>
      </c>
    </row>
    <row r="46" spans="1:9" x14ac:dyDescent="0.3">
      <c r="A46" s="11" t="str">
        <f t="shared" si="3"/>
        <v>Large Scale Renewable Energy Target</v>
      </c>
      <c r="C46" t="s">
        <v>63</v>
      </c>
      <c r="D46" s="107">
        <f ca="1">IF(LEFT($A$37,5)="blank",0,VLOOKUP($B$2,'Input General'!$A227:$H232,COLUMN(D16),FALSE)*'Input Global'!D20)</f>
        <v>1288</v>
      </c>
      <c r="E46" s="107">
        <f ca="1">IF(LEFT($A$37,5)="blank",0,VLOOKUP($B$2,'Input General'!$A227:$H232,COLUMN(E16),FALSE)*'Input Global'!E20)</f>
        <v>1894.2</v>
      </c>
      <c r="F46" s="107">
        <f ca="1">IF(LEFT($A$37,5)="blank",0,VLOOKUP($B$2,'Input General'!$A227:$H232,COLUMN(F16),FALSE)*'Input Global'!F20)</f>
        <v>3199</v>
      </c>
      <c r="G46" s="107">
        <f ca="1">IF(LEFT($A$37,5)="blank",0,VLOOKUP($B$2,'Input General'!$A227:$H232,COLUMN(G16),FALSE)*'Input Global'!G20)</f>
        <v>3427.9093687316399</v>
      </c>
      <c r="H46" s="107">
        <f ca="1">IF(LEFT($A$37,5)="blank",0,VLOOKUP($B$2,'Input General'!$A227:$H232,COLUMN(H16),FALSE)*'Input Global'!H20)</f>
        <v>3630.0071236762269</v>
      </c>
    </row>
    <row r="47" spans="1:9" x14ac:dyDescent="0.3">
      <c r="A47" s="11" t="str">
        <f t="shared" si="3"/>
        <v>Small Scale Renewable Energy Scheme</v>
      </c>
      <c r="C47" t="s">
        <v>63</v>
      </c>
      <c r="D47" s="107">
        <f ca="1">IF(LEFT($A$37,5)="blank",0,'Input General'!D99*'Input Global'!D$20)</f>
        <v>0</v>
      </c>
      <c r="E47" s="107">
        <f ca="1">IF(LEFT($A$37,5)="blank",0,'Input General'!E99*'Input Global'!E$20)</f>
        <v>4362.3999999999996</v>
      </c>
      <c r="F47" s="107">
        <f ca="1">IF(LEFT($A$37,5)="blank",0,'Input General'!F99*'Input Global'!F$20)</f>
        <v>3961.9999999999995</v>
      </c>
      <c r="G47" s="107">
        <f ca="1">IF(LEFT($A$37,5)="blank",0,'Input General'!G99*'Input Global'!G$20)</f>
        <v>1743.7768025078367</v>
      </c>
      <c r="H47" s="107">
        <f ca="1">IF(LEFT($A$37,5)="blank",0,'Input General'!H99*'Input Global'!H$20)</f>
        <v>1515.2476489028213</v>
      </c>
    </row>
    <row r="48" spans="1:9" x14ac:dyDescent="0.3">
      <c r="A48" s="11" t="str">
        <f t="shared" si="3"/>
        <v>Energy savings</v>
      </c>
      <c r="C48" t="s">
        <v>63</v>
      </c>
      <c r="D48" s="107">
        <f ca="1">IF(LEFT($A$37,5)="blank",0,VLOOKUP($B$2,'Input General'!$A$115:$H$119,COLUMN(D33),FALSE)*'Input Global'!D$20)</f>
        <v>503.99999999999994</v>
      </c>
      <c r="E48" s="107">
        <f ca="1">IF(LEFT($A$37,5)="blank",0,VLOOKUP($B$2,'Input General'!$A$115:$H$119,COLUMN(E33),FALSE)*'Input Global'!E$20)</f>
        <v>782.07500000000005</v>
      </c>
      <c r="F48" s="107">
        <f ca="1">IF(LEFT($A$37,5)="blank",0,VLOOKUP($B$2,'Input General'!$A$115:$H$119,COLUMN(F33),FALSE)*'Input Global'!F$20)</f>
        <v>1085</v>
      </c>
      <c r="G48" s="107">
        <f ca="1">IF(LEFT($A$37,5)="blank",0,VLOOKUP($B$2,'Input General'!$A$115:$H$119,COLUMN(G33),FALSE)*'Input Global'!G$20)</f>
        <v>0</v>
      </c>
      <c r="H48" s="107">
        <f ca="1">IF(LEFT($A$37,5)="blank",0,VLOOKUP($B$2,'Input General'!$A$115:$H$119,COLUMN(H33),FALSE)*'Input Global'!H$20)</f>
        <v>0</v>
      </c>
    </row>
    <row r="49" spans="1:8" x14ac:dyDescent="0.3">
      <c r="A49" t="str">
        <f t="shared" si="3"/>
        <v>Blank</v>
      </c>
      <c r="C49" t="s">
        <v>63</v>
      </c>
      <c r="D49" s="107">
        <f ca="1">IF(LEFT($A$37,5)="blank",0,VLOOKUP($B$2,'Input General'!$A$135:$H$139,COLUMN(D49),FALSE)*'Input Global'!D$20)</f>
        <v>0</v>
      </c>
      <c r="E49" s="107">
        <f ca="1">IF(LEFT($A$37,5)="blank",0,VLOOKUP($B$2,'Input General'!$A$135:$H$139,COLUMN(E49),FALSE)*'Input Global'!E$20)</f>
        <v>0</v>
      </c>
      <c r="F49" s="107">
        <f ca="1">IF(LEFT($A$37,5)="blank",0,VLOOKUP($B$2,'Input General'!$A$135:$H$139,COLUMN(F49),FALSE)*'Input Global'!F$20)</f>
        <v>0</v>
      </c>
      <c r="G49" s="107">
        <f ca="1">IF(LEFT($A$37,5)="blank",0,VLOOKUP($B$2,'Input General'!$A$135:$H$139,COLUMN(G49),FALSE)*'Input Global'!G$20)</f>
        <v>0</v>
      </c>
      <c r="H49" s="107">
        <f ca="1">IF(LEFT($A$37,5)="blank",0,VLOOKUP($B$2,'Input General'!$A$135:$H$139,COLUMN(H49),FALSE)*'Input Global'!H$20)</f>
        <v>0</v>
      </c>
    </row>
    <row r="50" spans="1:8" x14ac:dyDescent="0.3">
      <c r="A50" s="12" t="s">
        <v>61</v>
      </c>
      <c r="B50" s="12"/>
      <c r="C50" s="12" t="s">
        <v>63</v>
      </c>
      <c r="D50" s="107">
        <f ca="1">SUM(D38:D49)</f>
        <v>149857.09958055805</v>
      </c>
      <c r="E50" s="107">
        <f t="shared" ref="E50:H50" ca="1" si="4">SUM(E38:E49)</f>
        <v>169118.91485668239</v>
      </c>
      <c r="F50" s="107">
        <f t="shared" ca="1" si="4"/>
        <v>192055.81152180434</v>
      </c>
      <c r="G50" s="107">
        <f t="shared" ca="1" si="4"/>
        <v>185078.10585437901</v>
      </c>
      <c r="H50" s="107">
        <f t="shared" ca="1" si="4"/>
        <v>189623.35193666225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63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63</v>
      </c>
      <c r="D54" s="107">
        <f>IF(LEFT($A$52,5)="blank",0,'Input General'!#REF!+(SUMPRODUCT('Input General'!#REF!,'Input General'!#REF!)*'Input Global'!D$21))</f>
        <v>0</v>
      </c>
      <c r="E54" s="107">
        <f>IF(LEFT($A$52,5)="blank",0,'Input General'!#REF!+(SUMPRODUCT('Input General'!#REF!,'Input General'!#REF!)*'Input Global'!E$21))</f>
        <v>0</v>
      </c>
      <c r="F54" s="107">
        <f>IF(LEFT($A$52,5)="blank",0,'Input General'!#REF!+(SUMPRODUCT('Input General'!#REF!,'Input General'!#REF!)*'Input Global'!F$21))</f>
        <v>0</v>
      </c>
      <c r="G54" s="107">
        <f>IF(LEFT($A$52,5)="blank",0,'Input General'!#REF!+(SUMPRODUCT('Input General'!#REF!,'Input General'!#REF!)*'Input Global'!G$21))</f>
        <v>0</v>
      </c>
      <c r="H54" s="107">
        <f>IF(LEFT($A$52,5)="blank",0,'Input General'!#REF!+(SUMPRODUCT('Input General'!#REF!,'Input General'!#REF!)*'Input Global'!H$21))</f>
        <v>0</v>
      </c>
    </row>
    <row r="55" spans="1:8" hidden="1" x14ac:dyDescent="0.3">
      <c r="A55" t="str">
        <f t="shared" si="5"/>
        <v>Distribution</v>
      </c>
      <c r="C55" t="s">
        <v>63</v>
      </c>
      <c r="D55" s="107">
        <f>IF(LEFT($A$52,5)="blank",0,'Input General'!#REF!+SUMPRODUCT('Input General'!#REF!,'Input General'!#REF!)*'Input Global'!D$21+'Input General'!#REF!)</f>
        <v>0</v>
      </c>
      <c r="E55" s="107">
        <f>IF(LEFT($A$52,5)="blank",0,'Input General'!#REF!+SUMPRODUCT('Input General'!#REF!,'Input General'!#REF!)*'Input Global'!E$21+'Input General'!#REF!)</f>
        <v>0</v>
      </c>
      <c r="F55" s="107">
        <f>IF(LEFT($A$52,5)="blank",0,'Input General'!#REF!+SUMPRODUCT('Input General'!#REF!,'Input General'!#REF!)*'Input Global'!F$21+'Input General'!#REF!)</f>
        <v>0</v>
      </c>
      <c r="G55" s="107">
        <f>IF(LEFT($A$52,5)="blank",0,'Input General'!#REF!+SUMPRODUCT('Input General'!#REF!,'Input General'!#REF!)*'Input Global'!G$21+'Input General'!#REF!)</f>
        <v>0</v>
      </c>
      <c r="H55" s="107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t="str">
        <f t="shared" si="5"/>
        <v>Retail</v>
      </c>
      <c r="C56" t="s">
        <v>63</v>
      </c>
      <c r="D56" s="107">
        <f>IF(LEFT($A$52,5)="blank",0,'Input General'!#REF!*'Input Global'!D$21)</f>
        <v>0</v>
      </c>
      <c r="E56" s="107">
        <f>IF(LEFT($A$52,5)="blank",0,'Input General'!#REF!*'Input Global'!E$21)</f>
        <v>0</v>
      </c>
      <c r="F56" s="107">
        <f>IF(LEFT($A$52,5)="blank",0,'Input General'!#REF!*'Input Global'!F$21)</f>
        <v>0</v>
      </c>
      <c r="G56" s="107">
        <f>IF(LEFT($A$52,5)="blank",0,'Input General'!#REF!*'Input Global'!G$21)</f>
        <v>0</v>
      </c>
      <c r="H56" s="107">
        <f>IF(LEFT($A$52,5)="blank",0,'Input General'!#REF!*'Input Global'!H$21)</f>
        <v>0</v>
      </c>
    </row>
    <row r="57" spans="1:8" hidden="1" x14ac:dyDescent="0.3">
      <c r="A57" t="str">
        <f t="shared" si="5"/>
        <v>Retail and Residual</v>
      </c>
      <c r="C57" t="s">
        <v>63</v>
      </c>
      <c r="D57" s="107">
        <f>IF(LEFT($A$52,5)="blank",0,VLOOKUP($B$2,'Input General'!$A$161:$H$165,COLUMN(D57),FALSE)*'Input Global'!D$36)</f>
        <v>0</v>
      </c>
      <c r="E57" s="107">
        <f>IF(LEFT($A$52,5)="blank",0,VLOOKUP($B$2,'Input General'!$A$161:$H$165,COLUMN(E57),FALSE)*'Input Global'!E$36)</f>
        <v>0</v>
      </c>
      <c r="F57" s="107">
        <f>IF(LEFT($A$52,5)="blank",0,VLOOKUP($B$2,'Input General'!$A$161:$H$165,COLUMN(F57),FALSE)*'Input Global'!F$36)</f>
        <v>0</v>
      </c>
      <c r="G57" s="107">
        <f>IF(LEFT($A$52,5)="blank",0,VLOOKUP($B$2,'Input General'!$A$161:$H$165,COLUMN(G57),FALSE)*'Input Global'!G$36)</f>
        <v>0</v>
      </c>
      <c r="H57" s="107">
        <f>IF(LEFT($A$52,5)="blank",0,VLOOKUP($B$2,'Input General'!$A$161:$H$165,COLUMN(H57),FALSE)*'Input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63</v>
      </c>
      <c r="D59" s="107">
        <f>IF(LEFT($A$52,5)="blank",0,'Input General'!#REF!+SUMPRODUCT('Input General'!#REF!,'Input General'!#REF!)*'Input Global'!D$21)</f>
        <v>0</v>
      </c>
      <c r="E59" s="107">
        <f>IF(LEFT($A$52,5)="blank",0,'Input General'!#REF!+SUMPRODUCT('Input General'!#REF!,'Input General'!#REF!)*'Input Global'!E$21)</f>
        <v>0</v>
      </c>
      <c r="F59" s="107">
        <f>IF(LEFT($A$52,5)="blank",0,'Input General'!#REF!+SUMPRODUCT('Input General'!#REF!,'Input General'!#REF!)*'Input Global'!F$21)</f>
        <v>0</v>
      </c>
      <c r="G59" s="107">
        <f>IF(LEFT($A$52,5)="blank",0,'Input General'!#REF!+SUMPRODUCT('Input General'!#REF!,'Input General'!#REF!)*'Input Global'!G$21)</f>
        <v>0</v>
      </c>
      <c r="H59" s="107">
        <f>IF(LEFT($A$52,5)="blank",0,'Input General'!#REF!+SUMPRODUCT('Input General'!#REF!,'Input General'!#REF!)*'Input Global'!H$21)</f>
        <v>0</v>
      </c>
    </row>
    <row r="60" spans="1:8" hidden="1" x14ac:dyDescent="0.3">
      <c r="A60" s="11" t="str">
        <f t="shared" si="5"/>
        <v>Carbon costs</v>
      </c>
      <c r="C60" t="s">
        <v>63</v>
      </c>
      <c r="D60" s="107">
        <f>IF(LEFT($A$52,5)="blank",0,VLOOKUP($B$2,'Input General'!#REF!,COLUMN(D60),FALSE)*'Input Global'!D$21)</f>
        <v>0</v>
      </c>
      <c r="E60" s="107">
        <f>IF(LEFT($A$52,5)="blank",0,VLOOKUP($B$2,'Input General'!#REF!,COLUMN(E60),FALSE)*'Input Global'!E$21)</f>
        <v>0</v>
      </c>
      <c r="F60" s="107">
        <f>IF(LEFT($A$52,5)="blank",0,VLOOKUP($B$2,'Input General'!#REF!,COLUMN(F60),FALSE)*'Input Global'!F$21)</f>
        <v>0</v>
      </c>
      <c r="G60" s="107">
        <f>IF(LEFT($A$52,5)="blank",0,VLOOKUP($B$2,'Input General'!#REF!,COLUMN(G60),FALSE)*'Input Global'!G$21)</f>
        <v>0</v>
      </c>
      <c r="H60" s="107">
        <f>IF(LEFT($A$52,5)="blank",0,VLOOKUP($B$2,'Input General'!#REF!,COLUMN(H60),FALSE)*'Input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63</v>
      </c>
      <c r="D61" s="107">
        <f>IF(LEFT($A$52,5)="blank",0,VLOOKUP($B$2,'Input General'!#REF!,COLUMN(D61),FALSE)*'Input Global'!D21)</f>
        <v>0</v>
      </c>
      <c r="E61" s="107">
        <f>IF(LEFT($A$52,5)="blank",0,VLOOKUP($B$2,'Input General'!#REF!,COLUMN(E61),FALSE)*'Input Global'!E21)</f>
        <v>0</v>
      </c>
      <c r="F61" s="107">
        <f>IF(LEFT($A$52,5)="blank",0,VLOOKUP($B$2,'Input General'!#REF!,COLUMN(F61),FALSE)*'Input Global'!F21)</f>
        <v>0</v>
      </c>
      <c r="G61" s="107">
        <f>IF(LEFT($A$52,5)="blank",0,VLOOKUP($B$2,'Input General'!#REF!,COLUMN(G61),FALSE)*'Input Global'!G21)</f>
        <v>0</v>
      </c>
      <c r="H61" s="107">
        <f>IF(LEFT($A$52,5)="blank",0,VLOOKUP($B$2,'Input General'!#REF!,COLUMN(H61),FALSE)*'Input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63</v>
      </c>
      <c r="D62" s="107">
        <f>IF(LEFT($A$52,5)="blank",0,'Input General'!#REF!*'Input Global'!D$21)</f>
        <v>0</v>
      </c>
      <c r="E62" s="107">
        <f>IF(LEFT($A$52,5)="blank",0,'Input General'!#REF!*'Input Global'!E$21)</f>
        <v>0</v>
      </c>
      <c r="F62" s="107">
        <f>IF(LEFT($A$52,5)="blank",0,'Input General'!#REF!*'Input Global'!F$21)</f>
        <v>0</v>
      </c>
      <c r="G62" s="107">
        <f>IF(LEFT($A$52,5)="blank",0,'Input General'!#REF!*'Input Global'!G$21)</f>
        <v>0</v>
      </c>
      <c r="H62" s="107">
        <f>IF(LEFT($A$52,5)="blank",0,'Input General'!#REF!*'Input Global'!H$21)</f>
        <v>0</v>
      </c>
    </row>
    <row r="63" spans="1:8" hidden="1" x14ac:dyDescent="0.3">
      <c r="A63" s="11" t="str">
        <f t="shared" si="5"/>
        <v>Energy savings</v>
      </c>
      <c r="C63" t="s">
        <v>63</v>
      </c>
      <c r="D63" s="107">
        <f>IF(LEFT($A$52,5)="blank",0,VLOOKUP($B$2,'Input General'!#REF!,COLUMN(D48),FALSE)*'Input Global'!D$21)</f>
        <v>0</v>
      </c>
      <c r="E63" s="107">
        <f>IF(LEFT($A$52,5)="blank",0,VLOOKUP($B$2,'Input General'!#REF!,COLUMN(E48),FALSE)*'Input Global'!E$21)</f>
        <v>0</v>
      </c>
      <c r="F63" s="107">
        <f>IF(LEFT($A$52,5)="blank",0,VLOOKUP($B$2,'Input General'!#REF!,COLUMN(F48),FALSE)*'Input Global'!F$21)</f>
        <v>0</v>
      </c>
      <c r="G63" s="107">
        <f>IF(LEFT($A$52,5)="blank",0,VLOOKUP($B$2,'Input General'!#REF!,COLUMN(G48),FALSE)*'Input Global'!G$21)</f>
        <v>0</v>
      </c>
      <c r="H63" s="107">
        <f>IF(LEFT($A$52,5)="blank",0,VLOOKUP($B$2,'Input General'!#REF!,COLUMN(H48),FALSE)*'Input Global'!H$21)</f>
        <v>0</v>
      </c>
    </row>
    <row r="64" spans="1:8" hidden="1" x14ac:dyDescent="0.3">
      <c r="A64" s="11" t="str">
        <f t="shared" si="5"/>
        <v>Blank</v>
      </c>
      <c r="C64" t="s">
        <v>63</v>
      </c>
      <c r="D64" s="107">
        <f>IF(LEFT($A$52,5)="blank",0,VLOOKUP($B$2,'Input General'!#REF!,COLUMN(D64),FALSE)*'Input Global'!D$21)</f>
        <v>0</v>
      </c>
      <c r="E64" s="107">
        <f>IF(LEFT($A$52,5)="blank",0,VLOOKUP($B$2,'Input General'!#REF!,COLUMN(E64),FALSE)*'Input Global'!E$21)</f>
        <v>0</v>
      </c>
      <c r="F64" s="107">
        <f>IF(LEFT($A$52,5)="blank",0,VLOOKUP($B$2,'Input General'!#REF!,COLUMN(F64),FALSE)*'Input Global'!F$21)</f>
        <v>0</v>
      </c>
      <c r="G64" s="107">
        <f>IF(LEFT($A$52,5)="blank",0,VLOOKUP($B$2,'Input General'!#REF!,COLUMN(G64),FALSE)*'Input Global'!G$21)</f>
        <v>0</v>
      </c>
      <c r="H64" s="107">
        <f>IF(LEFT($A$52,5)="blank",0,VLOOKUP($B$2,'Input General'!#REF!,COLUMN(H64),FALSE)*'Input Global'!H$21)</f>
        <v>0</v>
      </c>
    </row>
    <row r="65" spans="1:8" hidden="1" x14ac:dyDescent="0.3">
      <c r="A65" s="12" t="s">
        <v>61</v>
      </c>
      <c r="B65" s="12"/>
      <c r="C65" s="12" t="s">
        <v>63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63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63</v>
      </c>
      <c r="D69" s="107">
        <f>IF(LEFT($A$67,5)="blank",0,'Input General'!#REF!+(SUMPRODUCT('Input General'!#REF!,'Input General'!#REF!)*'Input Global'!D$22))</f>
        <v>0</v>
      </c>
      <c r="E69" s="107">
        <f>IF(LEFT($A$67,5)="blank",0,'Input General'!#REF!+(SUMPRODUCT('Input General'!#REF!,'Input General'!#REF!)*'Input Global'!E$22))</f>
        <v>0</v>
      </c>
      <c r="F69" s="107">
        <f>IF(LEFT($A$67,5)="blank",0,'Input General'!#REF!+(SUMPRODUCT('Input General'!#REF!,'Input General'!#REF!)*'Input Global'!F$22))</f>
        <v>0</v>
      </c>
      <c r="G69" s="107">
        <f>IF(LEFT($A$67,5)="blank",0,'Input General'!#REF!+(SUMPRODUCT('Input General'!#REF!,'Input General'!#REF!)*'Input Global'!G$22))</f>
        <v>0</v>
      </c>
      <c r="H69" s="107">
        <f>IF(LEFT($A$67,5)="blank",0,'Input General'!#REF!+(SUMPRODUCT('Input General'!#REF!,'Input General'!#REF!)*'Input Global'!H$22))</f>
        <v>0</v>
      </c>
    </row>
    <row r="70" spans="1:8" hidden="1" x14ac:dyDescent="0.3">
      <c r="A70" t="str">
        <f t="shared" si="7"/>
        <v>Distribution</v>
      </c>
      <c r="C70" t="s">
        <v>63</v>
      </c>
      <c r="D70" s="107">
        <f>IF(LEFT($A$67,5)="blank",0,'Input General'!#REF!+SUMPRODUCT('Input General'!#REF!,'Input General'!#REF!)*'Input Global'!D$22+'Input General'!#REF!)</f>
        <v>0</v>
      </c>
      <c r="E70" s="107">
        <f>IF(LEFT($A$67,5)="blank",0,'Input General'!#REF!+SUMPRODUCT('Input General'!#REF!,'Input General'!#REF!)*'Input Global'!E$22+'Input General'!#REF!)</f>
        <v>0</v>
      </c>
      <c r="F70" s="107">
        <f>IF(LEFT($A$67,5)="blank",0,'Input General'!#REF!+SUMPRODUCT('Input General'!#REF!,'Input General'!#REF!)*'Input Global'!F$22+'Input General'!#REF!)</f>
        <v>0</v>
      </c>
      <c r="G70" s="107">
        <f>IF(LEFT($A$67,5)="blank",0,'Input General'!#REF!+SUMPRODUCT('Input General'!#REF!,'Input General'!#REF!)*'Input Global'!G$22+'Input General'!#REF!)</f>
        <v>0</v>
      </c>
      <c r="H70" s="107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t="str">
        <f t="shared" si="7"/>
        <v>Retail</v>
      </c>
      <c r="C71" t="s">
        <v>63</v>
      </c>
      <c r="D71" s="107">
        <f>IF(LEFT($A$67,5)="blank",0,'Input General'!#REF!*'Input Global'!D$22)</f>
        <v>0</v>
      </c>
      <c r="E71" s="107">
        <f>IF(LEFT($A$67,5)="blank",0,'Input General'!#REF!*'Input Global'!E$22)</f>
        <v>0</v>
      </c>
      <c r="F71" s="107">
        <f>IF(LEFT($A$67,5)="blank",0,'Input General'!#REF!*'Input Global'!F$22)</f>
        <v>0</v>
      </c>
      <c r="G71" s="107">
        <f>IF(LEFT($A$67,5)="blank",0,'Input General'!#REF!*'Input Global'!G$22)</f>
        <v>0</v>
      </c>
      <c r="H71" s="107">
        <f>IF(LEFT($A$67,5)="blank",0,'Input General'!#REF!*'Input Global'!H$22)</f>
        <v>0</v>
      </c>
    </row>
    <row r="72" spans="1:8" hidden="1" x14ac:dyDescent="0.3">
      <c r="A72" t="str">
        <f t="shared" si="7"/>
        <v>Retail and Residual</v>
      </c>
      <c r="C72" t="s">
        <v>63</v>
      </c>
      <c r="D72" s="107">
        <f>IF(LEFT($A$67,5)="blank",0,VLOOKUP($B$2,'Input General'!$A$167:$H$171,COLUMN(D72),FALSE)*'Input Global'!D$37)</f>
        <v>0</v>
      </c>
      <c r="E72" s="107">
        <f>IF(LEFT($A$67,5)="blank",0,VLOOKUP($B$2,'Input General'!$A$167:$H$171,COLUMN(E72),FALSE)*'Input Global'!E$37)</f>
        <v>0</v>
      </c>
      <c r="F72" s="107">
        <f>IF(LEFT($A$67,5)="blank",0,VLOOKUP($B$2,'Input General'!$A$167:$H$171,COLUMN(F72),FALSE)*'Input Global'!F$37)</f>
        <v>0</v>
      </c>
      <c r="G72" s="107">
        <f>IF(LEFT($A$67,5)="blank",0,VLOOKUP($B$2,'Input General'!$A$167:$H$171,COLUMN(G72),FALSE)*'Input Global'!G$37)</f>
        <v>0</v>
      </c>
      <c r="H72" s="107">
        <f>IF(LEFT($A$67,5)="blank",0,VLOOKUP($B$2,'Input General'!$A$167:$H$171,COLUMN(H72),FALSE)*'Input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63</v>
      </c>
      <c r="D74" s="107">
        <f>IF(LEFT($A$67,5)="blank",0,'Input General'!#REF!+SUMPRODUCT('Input General'!#REF!,'Input General'!#REF!)*'Input Global'!D$22)</f>
        <v>0</v>
      </c>
      <c r="E74" s="107">
        <f>IF(LEFT($A$67,5)="blank",0,'Input General'!#REF!+SUMPRODUCT('Input General'!#REF!,'Input General'!#REF!)*'Input Global'!E$22)</f>
        <v>0</v>
      </c>
      <c r="F74" s="107">
        <f>IF(LEFT($A$67,5)="blank",0,'Input General'!#REF!+SUMPRODUCT('Input General'!#REF!,'Input General'!#REF!)*'Input Global'!F$22)</f>
        <v>0</v>
      </c>
      <c r="G74" s="107">
        <f>IF(LEFT($A$67,5)="blank",0,'Input General'!#REF!+SUMPRODUCT('Input General'!#REF!,'Input General'!#REF!)*'Input Global'!G$22)</f>
        <v>0</v>
      </c>
      <c r="H74" s="107">
        <f>IF(LEFT($A$67,5)="blank",0,'Input General'!#REF!+SUMPRODUCT('Input General'!#REF!,'Input General'!#REF!)*'Input Global'!H$22)</f>
        <v>0</v>
      </c>
    </row>
    <row r="75" spans="1:8" hidden="1" x14ac:dyDescent="0.3">
      <c r="A75" s="11" t="str">
        <f t="shared" si="7"/>
        <v>Carbon costs</v>
      </c>
      <c r="C75" t="s">
        <v>63</v>
      </c>
      <c r="D75" s="107">
        <f>IF(LEFT($A$67,5)="blank",0,VLOOKUP($B$2,'Input General'!#REF!,COLUMN(D75),FALSE)*'Input Global'!D$22)</f>
        <v>0</v>
      </c>
      <c r="E75" s="107">
        <f>IF(LEFT($A$67,5)="blank",0,VLOOKUP($B$2,'Input General'!#REF!,COLUMN(E75),FALSE)*'Input Global'!E$22)</f>
        <v>0</v>
      </c>
      <c r="F75" s="107">
        <f>IF(LEFT($A$67,5)="blank",0,VLOOKUP($B$2,'Input General'!#REF!,COLUMN(F75),FALSE)*'Input Global'!F$22)</f>
        <v>0</v>
      </c>
      <c r="G75" s="107">
        <f>IF(LEFT($A$67,5)="blank",0,VLOOKUP($B$2,'Input General'!#REF!,COLUMN(G75),FALSE)*'Input Global'!G$22)</f>
        <v>0</v>
      </c>
      <c r="H75" s="107">
        <f>IF(LEFT($A$67,5)="blank",0,VLOOKUP($B$2,'Input General'!#REF!,COLUMN(H75),FALSE)*'Input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63</v>
      </c>
      <c r="D76" s="107">
        <f>IF(LEFT($A$67,5)="blank",0,VLOOKUP($B$2,'Input General'!#REF!,COLUMN(D76),FALSE)*'Input Global'!D22)</f>
        <v>0</v>
      </c>
      <c r="E76" s="107">
        <f>IF(LEFT($A$67,5)="blank",0,VLOOKUP($B$2,'Input General'!#REF!,COLUMN(E76),FALSE)*'Input Global'!E22)</f>
        <v>0</v>
      </c>
      <c r="F76" s="107">
        <f>IF(LEFT($A$67,5)="blank",0,VLOOKUP($B$2,'Input General'!#REF!,COLUMN(F76),FALSE)*'Input Global'!F22)</f>
        <v>0</v>
      </c>
      <c r="G76" s="107">
        <f>IF(LEFT($A$67,5)="blank",0,VLOOKUP($B$2,'Input General'!#REF!,COLUMN(G76),FALSE)*'Input Global'!G22)</f>
        <v>0</v>
      </c>
      <c r="H76" s="107">
        <f>IF(LEFT($A$67,5)="blank",0,VLOOKUP($B$2,'Input General'!#REF!,COLUMN(H76),FALSE)*'Input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63</v>
      </c>
      <c r="D77" s="107">
        <f>IF(LEFT($A$67,5)="blank",0,'Input General'!#REF!*'Input Global'!D$22)</f>
        <v>0</v>
      </c>
      <c r="E77" s="107">
        <f>IF(LEFT($A$67,5)="blank",0,'Input General'!#REF!*'Input Global'!E$22)</f>
        <v>0</v>
      </c>
      <c r="F77" s="107">
        <f>IF(LEFT($A$67,5)="blank",0,'Input General'!#REF!*'Input Global'!F$22)</f>
        <v>0</v>
      </c>
      <c r="G77" s="107">
        <f>IF(LEFT($A$67,5)="blank",0,'Input General'!#REF!*'Input Global'!G$22)</f>
        <v>0</v>
      </c>
      <c r="H77" s="107">
        <f>IF(LEFT($A$67,5)="blank",0,'Input General'!#REF!*'Input Global'!H$22)</f>
        <v>0</v>
      </c>
    </row>
    <row r="78" spans="1:8" hidden="1" x14ac:dyDescent="0.3">
      <c r="A78" s="11" t="str">
        <f t="shared" si="7"/>
        <v>Energy savings</v>
      </c>
      <c r="C78" t="s">
        <v>63</v>
      </c>
      <c r="D78" s="107">
        <f>IF(LEFT($A$67,5)="blank",0,VLOOKUP($B$2,'Input General'!#REF!,COLUMN(D78),FALSE)*'Input Global'!D$22)</f>
        <v>0</v>
      </c>
      <c r="E78" s="107">
        <f>IF(LEFT($A$67,5)="blank",0,VLOOKUP($B$2,'Input General'!#REF!,COLUMN(E78),FALSE)*'Input Global'!E$22)</f>
        <v>0</v>
      </c>
      <c r="F78" s="107">
        <f>IF(LEFT($A$67,5)="blank",0,VLOOKUP($B$2,'Input General'!#REF!,COLUMN(F78),FALSE)*'Input Global'!F$22)</f>
        <v>0</v>
      </c>
      <c r="G78" s="107">
        <f>IF(LEFT($A$67,5)="blank",0,VLOOKUP($B$2,'Input General'!#REF!,COLUMN(G78),FALSE)*'Input Global'!G$22)</f>
        <v>0</v>
      </c>
      <c r="H78" s="107">
        <f>IF(LEFT($A$67,5)="blank",0,VLOOKUP($B$2,'Input General'!#REF!,COLUMN(H78),FALSE)*'Input Global'!H$22)</f>
        <v>0</v>
      </c>
    </row>
    <row r="79" spans="1:8" hidden="1" x14ac:dyDescent="0.3">
      <c r="A79" s="11" t="str">
        <f t="shared" si="7"/>
        <v>Blank</v>
      </c>
      <c r="C79" t="s">
        <v>63</v>
      </c>
      <c r="D79" s="107">
        <f>IF(LEFT($A$67,5)="blank",0,VLOOKUP($B$2,'Input General'!#REF!,COLUMN(D79),FALSE)*'Input Global'!D$22)</f>
        <v>0</v>
      </c>
      <c r="E79" s="107">
        <f>IF(LEFT($A$67,5)="blank",0,VLOOKUP($B$2,'Input General'!#REF!,COLUMN(E79),FALSE)*'Input Global'!E$22)</f>
        <v>0</v>
      </c>
      <c r="F79" s="107">
        <f>IF(LEFT($A$67,5)="blank",0,VLOOKUP($B$2,'Input General'!#REF!,COLUMN(F79),FALSE)*'Input Global'!F$22)</f>
        <v>0</v>
      </c>
      <c r="G79" s="107">
        <f>IF(LEFT($A$67,5)="blank",0,VLOOKUP($B$2,'Input General'!#REF!,COLUMN(G79),FALSE)*'Input Global'!G$22)</f>
        <v>0</v>
      </c>
      <c r="H79" s="107">
        <f>IF(LEFT($A$67,5)="blank",0,VLOOKUP($B$2,'Input General'!#REF!,COLUMN(H79),FALSE)*'Input Global'!H$22)</f>
        <v>0</v>
      </c>
    </row>
    <row r="80" spans="1:8" hidden="1" x14ac:dyDescent="0.3">
      <c r="A80" s="12" t="s">
        <v>61</v>
      </c>
      <c r="B80" s="12"/>
      <c r="C80" s="12" t="s">
        <v>63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62</v>
      </c>
      <c r="B82" s="1" t="s">
        <v>48</v>
      </c>
      <c r="D82" s="103"/>
      <c r="E82" s="103"/>
      <c r="F82" s="103"/>
      <c r="G82" s="103"/>
      <c r="H82" s="103"/>
    </row>
    <row r="84" spans="1:8" x14ac:dyDescent="0.3">
      <c r="A84" s="8" t="str">
        <f>Dist1</f>
        <v xml:space="preserve">Ausgrid </v>
      </c>
    </row>
    <row r="85" spans="1:8" x14ac:dyDescent="0.3">
      <c r="A85" t="str">
        <f t="shared" ref="A85:A96" si="9">A68</f>
        <v>Wholesale</v>
      </c>
      <c r="C85" t="s">
        <v>17</v>
      </c>
      <c r="D85" s="107">
        <f ca="1">IF(LEFT($A$84,5)="blank",0,D8/'Input Global'!D$18)</f>
        <v>7.44</v>
      </c>
      <c r="E85" s="107">
        <f ca="1">IF(LEFT($A$84,5)="blank",0,E8/'Input Global'!E$18)</f>
        <v>7.3639999999999999</v>
      </c>
      <c r="F85" s="107">
        <f ca="1">IF(LEFT($A$84,5)="blank",0,F8/'Input Global'!F$18)</f>
        <v>7.4432486500000001</v>
      </c>
      <c r="G85" s="107">
        <f ca="1">IF(LEFT($A$84,5)="blank",0,G8/'Input Global'!G$18)</f>
        <v>6.6607435130471169</v>
      </c>
      <c r="H85" s="107">
        <f ca="1">IF(LEFT($A$84,5)="blank",0,H8/'Input Global'!H$18)</f>
        <v>6.9214277393971884</v>
      </c>
    </row>
    <row r="86" spans="1:8" x14ac:dyDescent="0.3">
      <c r="A86" t="str">
        <f t="shared" si="9"/>
        <v>Transmission</v>
      </c>
      <c r="C86" t="s">
        <v>17</v>
      </c>
      <c r="D86" s="107">
        <f>IF(LEFT($A$84,5)="blank",0,D9/'Input Global'!D$18)</f>
        <v>1.9490566651938903</v>
      </c>
      <c r="E86" s="107">
        <f>IF(LEFT($A$84,5)="blank",0,E9/'Input Global'!E$18)</f>
        <v>2.4407873031375846</v>
      </c>
      <c r="F86" s="107">
        <f>IF(LEFT($A$84,5)="blank",0,F9/'Input Global'!F$18)</f>
        <v>4.9359206103405233</v>
      </c>
      <c r="G86" s="107">
        <f>IF(LEFT($A$84,5)="blank",0,G9/'Input Global'!G$18)</f>
        <v>5.2797889332955936</v>
      </c>
      <c r="H86" s="107">
        <f>IF(LEFT($A$84,5)="blank",0,H9/'Input Global'!H$18)</f>
        <v>5.6476133594513964</v>
      </c>
    </row>
    <row r="87" spans="1:8" x14ac:dyDescent="0.3">
      <c r="A87" t="str">
        <f t="shared" si="9"/>
        <v>Distribution</v>
      </c>
      <c r="C87" t="s">
        <v>17</v>
      </c>
      <c r="D87" s="107">
        <f>IF(LEFT($A$84,5)="blank",0,D10/'Input Global'!D$18)</f>
        <v>8.898119164043699</v>
      </c>
      <c r="E87" s="107">
        <f>IF(LEFT($A$84,5)="blank",0,E10/'Input Global'!E$18)</f>
        <v>10.624721457519319</v>
      </c>
      <c r="F87" s="107">
        <f>IF(LEFT($A$84,5)="blank",0,F10/'Input Global'!F$18)</f>
        <v>10.573975353139822</v>
      </c>
      <c r="G87" s="107">
        <f>IF(LEFT($A$84,5)="blank",0,G10/'Input Global'!G$18)</f>
        <v>10.669627526073251</v>
      </c>
      <c r="H87" s="107">
        <f>IF(LEFT($A$84,5)="blank",0,H10/'Input Global'!H$18)</f>
        <v>10.948474345488579</v>
      </c>
    </row>
    <row r="88" spans="1:8" x14ac:dyDescent="0.3">
      <c r="A88" t="str">
        <f t="shared" si="9"/>
        <v>Retail</v>
      </c>
      <c r="C88" t="s">
        <v>17</v>
      </c>
      <c r="D88" s="107">
        <f>IF(LEFT($A$84,5)="blank",0,D11/'Input Global'!D$18)</f>
        <v>1.41</v>
      </c>
      <c r="E88" s="107">
        <f>IF(LEFT($A$84,5)="blank",0,E11/'Input Global'!E$18)</f>
        <v>1.41</v>
      </c>
      <c r="F88" s="107">
        <f>IF(LEFT($A$84,5)="blank",0,F11/'Input Global'!F$18)</f>
        <v>1.476</v>
      </c>
      <c r="G88" s="107">
        <f>IF(LEFT($A$84,5)="blank",0,G11/'Input Global'!G$18)</f>
        <v>1.5128999999999999</v>
      </c>
      <c r="H88" s="107">
        <f>IF(LEFT($A$84,5)="blank",0,H11/'Input Global'!H$18)</f>
        <v>1.5507224999999996</v>
      </c>
    </row>
    <row r="89" spans="1:8" x14ac:dyDescent="0.3">
      <c r="A89" t="str">
        <f t="shared" si="9"/>
        <v>Retail and Residual</v>
      </c>
      <c r="C89" t="s">
        <v>17</v>
      </c>
      <c r="D89" s="107">
        <f ca="1">IF(LEFT($A$84,5)="blank",0,D12/'Input Global'!D$18)</f>
        <v>1.0870294947788297</v>
      </c>
      <c r="E89" s="107">
        <f ca="1">IF(LEFT($A$84,5)="blank",0,E12/'Input Global'!E$18)</f>
        <v>1.2443333376906691</v>
      </c>
      <c r="F89" s="107">
        <f ca="1">IF(LEFT($A$84,5)="blank",0,F12/'Input Global'!F$18)</f>
        <v>1.5132831273790388</v>
      </c>
      <c r="G89" s="107">
        <f ca="1">IF(LEFT($A$84,5)="blank",0,G12/'Input Global'!G$18)</f>
        <v>1.4915908038264736</v>
      </c>
      <c r="H89" s="107">
        <f ca="1">IF(LEFT($A$84,5)="blank",0,H12/'Input Global'!H$18)</f>
        <v>1.5375321117372815</v>
      </c>
    </row>
    <row r="90" spans="1:8" x14ac:dyDescent="0.3">
      <c r="A90" t="str">
        <f t="shared" si="9"/>
        <v>Green Schemes</v>
      </c>
      <c r="C90" t="s">
        <v>17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17</v>
      </c>
      <c r="D91" s="107">
        <f>IF(LEFT($A$84,5)="blank",0,D14/'Input Global'!D$18)</f>
        <v>0.17699999999999999</v>
      </c>
      <c r="E91" s="107">
        <f>IF(LEFT($A$84,5)="blank",0,E14/'Input Global'!E$18)</f>
        <v>0.19817619657770696</v>
      </c>
      <c r="F91" s="107">
        <f>IF(LEFT($A$84,5)="blank",0,F14/'Input Global'!F$18)</f>
        <v>0.39229200465000003</v>
      </c>
      <c r="G91" s="107">
        <f>IF(LEFT($A$84,5)="blank",0,G14/'Input Global'!G$18)</f>
        <v>0.48424525053995998</v>
      </c>
      <c r="H91" s="107">
        <f>IF(LEFT($A$84,5)="blank",0,H14/'Input Global'!H$18)</f>
        <v>0.48424525053995998</v>
      </c>
    </row>
    <row r="92" spans="1:8" x14ac:dyDescent="0.3">
      <c r="A92" s="11" t="str">
        <f t="shared" si="9"/>
        <v>Carbon costs</v>
      </c>
      <c r="C92" t="s">
        <v>17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2.0428249999999997</v>
      </c>
      <c r="G92" s="107">
        <f ca="1">IF(LEFT($A$84,5)="blank",0,G15/'Input Global'!G$18)</f>
        <v>2.2859236454345511</v>
      </c>
      <c r="H92" s="107">
        <f ca="1">IF(LEFT($A$84,5)="blank",0,H15/'Input Global'!H$18)</f>
        <v>2.1945729667382818</v>
      </c>
    </row>
    <row r="93" spans="1:8" x14ac:dyDescent="0.3">
      <c r="A93" s="11" t="str">
        <f t="shared" si="9"/>
        <v>Large Scale Renewable Energy Target</v>
      </c>
      <c r="C93" t="s">
        <v>17</v>
      </c>
      <c r="D93" s="107">
        <f ca="1">IF(LEFT($A$84,5)="blank",0,D16/'Input Global'!D$18)</f>
        <v>0.184</v>
      </c>
      <c r="E93" s="107">
        <f ca="1">IF(LEFT($A$84,5)="blank",0,E16/'Input Global'!E$18)</f>
        <v>0.27367499999999995</v>
      </c>
      <c r="F93" s="107">
        <f ca="1">IF(LEFT($A$84,5)="blank",0,F16/'Input Global'!F$18)</f>
        <v>0.45407499999999995</v>
      </c>
      <c r="G93" s="107">
        <f ca="1">IF(LEFT($A$84,5)="blank",0,G16/'Input Global'!G$18)</f>
        <v>0.48656703551322888</v>
      </c>
      <c r="H93" s="107">
        <f ca="1">IF(LEFT($A$84,5)="blank",0,H16/'Input Global'!H$18)</f>
        <v>0.51525335563716224</v>
      </c>
    </row>
    <row r="94" spans="1:8" x14ac:dyDescent="0.3">
      <c r="A94" s="11" t="str">
        <f t="shared" si="9"/>
        <v>Small Scale Renewable Energy Scheme</v>
      </c>
      <c r="C94" t="s">
        <v>17</v>
      </c>
      <c r="D94" s="107">
        <f ca="1">IF(LEFT($A$84,5)="blank",0,D17/'Input Global'!D$18)</f>
        <v>0</v>
      </c>
      <c r="E94" s="107">
        <f ca="1">IF(LEFT($A$84,5)="blank",0,E17/'Input Global'!E$18)</f>
        <v>0.62012499999999982</v>
      </c>
      <c r="F94" s="107">
        <f ca="1">IF(LEFT($A$84,5)="blank",0,F17/'Input Global'!F$18)</f>
        <v>0.55042499999999994</v>
      </c>
      <c r="G94" s="107">
        <f ca="1">IF(LEFT($A$84,5)="blank",0,G17/'Input Global'!G$18)</f>
        <v>0.2422560188087774</v>
      </c>
      <c r="H94" s="107">
        <f ca="1">IF(LEFT($A$84,5)="blank",0,H17/'Input Global'!H$18)</f>
        <v>0.21050736677115994</v>
      </c>
    </row>
    <row r="95" spans="1:8" x14ac:dyDescent="0.3">
      <c r="A95" s="11" t="str">
        <f t="shared" si="9"/>
        <v>Energy savings</v>
      </c>
      <c r="C95" t="s">
        <v>17</v>
      </c>
      <c r="D95" s="107">
        <f ca="1">IF(LEFT($A$84,5)="blank",0,D18/'Input Global'!D$18)</f>
        <v>7.1999999999999995E-2</v>
      </c>
      <c r="E95" s="107">
        <f ca="1">IF(LEFT($A$84,5)="blank",0,E18/'Input Global'!E$18)</f>
        <v>0.111725</v>
      </c>
      <c r="F95" s="107">
        <f ca="1">IF(LEFT($A$84,5)="blank",0,F18/'Input Global'!F$18)</f>
        <v>0.155</v>
      </c>
      <c r="G95" s="107">
        <f ca="1">IF(LEFT($A$84,5)="blank",0,G18/'Input Global'!G$18)</f>
        <v>0</v>
      </c>
      <c r="H95" s="107">
        <f ca="1">IF(LEFT($A$84,5)="blank",0,H18/'Input Global'!H$18)</f>
        <v>0</v>
      </c>
    </row>
    <row r="96" spans="1:8" x14ac:dyDescent="0.3">
      <c r="A96" s="11" t="str">
        <f t="shared" si="9"/>
        <v>Blank</v>
      </c>
      <c r="C96" t="s">
        <v>17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12" t="s">
        <v>61</v>
      </c>
      <c r="B97" s="12"/>
      <c r="C97" s="12" t="s">
        <v>17</v>
      </c>
      <c r="D97" s="107">
        <f ca="1">SUM(D85:D96)</f>
        <v>21.217205324016419</v>
      </c>
      <c r="E97" s="107">
        <f t="shared" ref="E97:H97" ca="1" si="10">SUM(E85:E96)</f>
        <v>24.287543294925278</v>
      </c>
      <c r="F97" s="107">
        <f t="shared" ca="1" si="10"/>
        <v>29.537044745509387</v>
      </c>
      <c r="G97" s="107">
        <f t="shared" ca="1" si="10"/>
        <v>29.113642726538952</v>
      </c>
      <c r="H97" s="107">
        <f t="shared" ca="1" si="10"/>
        <v>30.01034899576101</v>
      </c>
    </row>
    <row r="99" spans="1:8" x14ac:dyDescent="0.3">
      <c r="A99" s="8" t="str">
        <f>Dist2</f>
        <v>Essential</v>
      </c>
    </row>
    <row r="100" spans="1:8" x14ac:dyDescent="0.3">
      <c r="A100" t="str">
        <f>A85</f>
        <v>Wholesale</v>
      </c>
      <c r="C100" t="s">
        <v>17</v>
      </c>
      <c r="D100" s="107">
        <f ca="1">IF(LEFT($A$99,5)="blank",0,D23/'Input Global'!D$19)</f>
        <v>7.2590000000000003</v>
      </c>
      <c r="E100" s="107">
        <f ca="1">IF(LEFT($A$99,5)="blank",0,E23/'Input Global'!E$19)</f>
        <v>7.1310000000000002</v>
      </c>
      <c r="F100" s="107">
        <f ca="1">IF(LEFT($A$99,5)="blank",0,F23/'Input Global'!F$19)</f>
        <v>7.4586236500000007</v>
      </c>
      <c r="G100" s="107">
        <f ca="1">IF(LEFT($A$99,5)="blank",0,G23/'Input Global'!G$19)</f>
        <v>6.3140576674527953</v>
      </c>
      <c r="H100" s="107">
        <f ca="1">IF(LEFT($A$99,5)="blank",0,H23/'Input Global'!H$19)</f>
        <v>6.563340433519893</v>
      </c>
    </row>
    <row r="101" spans="1:8" x14ac:dyDescent="0.3">
      <c r="A101" t="str">
        <f t="shared" ref="A101:A111" si="11">A86</f>
        <v>Transmission</v>
      </c>
      <c r="C101" t="s">
        <v>17</v>
      </c>
      <c r="D101" s="107">
        <f>IF(LEFT($A$99,5)="blank",0,D24/'Input Global'!D$19)</f>
        <v>2.1191030893293696</v>
      </c>
      <c r="E101" s="107">
        <f>IF(LEFT($A$99,5)="blank",0,E24/'Input Global'!E$19)</f>
        <v>2.5446</v>
      </c>
      <c r="F101" s="107">
        <f>IF(LEFT($A$99,5)="blank",0,F24/'Input Global'!F$19)</f>
        <v>2.7676417132395836</v>
      </c>
      <c r="G101" s="107">
        <f>IF(LEFT($A$99,5)="blank",0,G24/'Input Global'!G$19)</f>
        <v>2.9604536301246367</v>
      </c>
      <c r="H101" s="107">
        <f>IF(LEFT($A$99,5)="blank",0,H24/'Input Global'!H$19)</f>
        <v>3.1666980787984134</v>
      </c>
    </row>
    <row r="102" spans="1:8" x14ac:dyDescent="0.3">
      <c r="A102" t="str">
        <f t="shared" si="11"/>
        <v>Distribution</v>
      </c>
      <c r="C102" t="s">
        <v>17</v>
      </c>
      <c r="D102" s="107">
        <f>IF(LEFT($A$99,5)="blank",0,D25/'Input Global'!D$19)</f>
        <v>12.817635714285757</v>
      </c>
      <c r="E102" s="107">
        <f>IF(LEFT($A$99,5)="blank",0,E25/'Input Global'!E$19)</f>
        <v>15.660097142857142</v>
      </c>
      <c r="F102" s="107">
        <f>IF(LEFT($A$99,5)="blank",0,F25/'Input Global'!F$19)</f>
        <v>18.760154107428573</v>
      </c>
      <c r="G102" s="107">
        <f>IF(LEFT($A$99,5)="blank",0,G25/'Input Global'!G$19)</f>
        <v>18.381439508665245</v>
      </c>
      <c r="H102" s="107">
        <f>IF(LEFT($A$99,5)="blank",0,H25/'Input Global'!H$19)</f>
        <v>18.850897529191698</v>
      </c>
    </row>
    <row r="103" spans="1:8" x14ac:dyDescent="0.3">
      <c r="A103" t="str">
        <f t="shared" si="11"/>
        <v>Retail</v>
      </c>
      <c r="C103" t="s">
        <v>17</v>
      </c>
      <c r="D103" s="107">
        <f>IF(LEFT($A$99,5)="blank",0,D26/'Input Global'!D$19)</f>
        <v>1.32</v>
      </c>
      <c r="E103" s="107">
        <f>IF(LEFT($A$99,5)="blank",0,E26/'Input Global'!E$19)</f>
        <v>1.43</v>
      </c>
      <c r="F103" s="107">
        <f>IF(LEFT($A$99,5)="blank",0,F26/'Input Global'!F$19)</f>
        <v>1.4964999999999997</v>
      </c>
      <c r="G103" s="107">
        <f>IF(LEFT($A$99,5)="blank",0,G26/'Input Global'!G$19)</f>
        <v>1.5339124999999998</v>
      </c>
      <c r="H103" s="107">
        <f>IF(LEFT($A$99,5)="blank",0,H26/'Input Global'!H$19)</f>
        <v>1.5722603124999996</v>
      </c>
    </row>
    <row r="104" spans="1:8" x14ac:dyDescent="0.3">
      <c r="A104" t="str">
        <f t="shared" si="11"/>
        <v>Retail and Residual</v>
      </c>
      <c r="C104" t="s">
        <v>17</v>
      </c>
      <c r="D104" s="107">
        <f ca="1">IF(LEFT($A$99,5)="blank",0,D27/'Input Global'!D$19)</f>
        <v>1.2927419127727335</v>
      </c>
      <c r="E104" s="107">
        <f ca="1">IF(LEFT($A$99,5)="blank",0,E27/'Input Global'!E$19)</f>
        <v>1.5097763957142858</v>
      </c>
      <c r="F104" s="107">
        <f ca="1">IF(LEFT($A$99,5)="blank",0,F27/'Input Global'!F$19)</f>
        <v>1.8372386012453259</v>
      </c>
      <c r="G104" s="107">
        <f ca="1">IF(LEFT($A$99,5)="blank",0,G27/'Input Global'!G$19)</f>
        <v>1.7599695384716882</v>
      </c>
      <c r="H104" s="107">
        <f ca="1">IF(LEFT($A$99,5)="blank",0,H27/'Input Global'!H$19)</f>
        <v>1.8059869615197452</v>
      </c>
    </row>
    <row r="105" spans="1:8" x14ac:dyDescent="0.3">
      <c r="A105" t="str">
        <f t="shared" si="11"/>
        <v>Green Schemes</v>
      </c>
      <c r="C105" t="s">
        <v>17</v>
      </c>
      <c r="D105" s="103"/>
      <c r="E105" s="103"/>
      <c r="F105" s="103"/>
      <c r="G105" s="103"/>
      <c r="H105" s="103"/>
    </row>
    <row r="106" spans="1:8" x14ac:dyDescent="0.3">
      <c r="A106" s="11" t="str">
        <f t="shared" si="11"/>
        <v>Feed-in Tariffs</v>
      </c>
      <c r="C106" t="s">
        <v>17</v>
      </c>
      <c r="D106" s="107">
        <f>IF(LEFT($A$99,5)="blank",0,D29/'Input Global'!D$19)</f>
        <v>0.16792624773178752</v>
      </c>
      <c r="E106" s="107">
        <f>IF(LEFT($A$99,5)="blank",0,E29/'Input Global'!E$19)</f>
        <v>0.1794</v>
      </c>
      <c r="F106" s="107">
        <f>IF(LEFT($A$99,5)="blank",0,F29/'Input Global'!F$19)</f>
        <v>0.32151758943047254</v>
      </c>
      <c r="G106" s="107">
        <f>IF(LEFT($A$99,5)="blank",0,G29/'Input Global'!G$19)</f>
        <v>0.39688131239297536</v>
      </c>
      <c r="H106" s="107">
        <f>IF(LEFT($A$99,5)="blank",0,H29/'Input Global'!H$19)</f>
        <v>0.39688131239297536</v>
      </c>
    </row>
    <row r="107" spans="1:8" x14ac:dyDescent="0.3">
      <c r="A107" s="11" t="str">
        <f t="shared" si="11"/>
        <v>Carbon costs</v>
      </c>
      <c r="C107" t="s">
        <v>17</v>
      </c>
      <c r="D107" s="107">
        <f ca="1">IF(LEFT($A$99,5)="blank",0,D30/'Input Global'!D$19)</f>
        <v>0</v>
      </c>
      <c r="E107" s="107">
        <f ca="1">IF(LEFT($A$99,5)="blank",0,E30/'Input Global'!E$19)</f>
        <v>0</v>
      </c>
      <c r="F107" s="107">
        <f ca="1">IF(LEFT($A$99,5)="blank",0,F30/'Input Global'!F$19)</f>
        <v>2.0335999999999999</v>
      </c>
      <c r="G107" s="107">
        <f ca="1">IF(LEFT($A$99,5)="blank",0,G30/'Input Global'!G$19)</f>
        <v>2.2645353871666596</v>
      </c>
      <c r="H107" s="107">
        <f ca="1">IF(LEFT($A$99,5)="blank",0,H30/'Input Global'!H$19)</f>
        <v>2.1577933516992789</v>
      </c>
    </row>
    <row r="108" spans="1:8" x14ac:dyDescent="0.3">
      <c r="A108" s="11" t="str">
        <f t="shared" si="11"/>
        <v>Large Scale Renewable Energy Target</v>
      </c>
      <c r="C108" t="s">
        <v>17</v>
      </c>
      <c r="D108" s="107">
        <f ca="1">IF(LEFT($A$99,5)="blank",0,D31/'Input Global'!D$19)</f>
        <v>0.184</v>
      </c>
      <c r="E108" s="107">
        <f ca="1">IF(LEFT($A$99,5)="blank",0,E31/'Input Global'!E$19)</f>
        <v>0.27162499999999995</v>
      </c>
      <c r="F108" s="107">
        <f ca="1">IF(LEFT($A$99,5)="blank",0,F31/'Input Global'!F$19)</f>
        <v>0.45509999999999995</v>
      </c>
      <c r="G108" s="107">
        <f ca="1">IF(LEFT($A$99,5)="blank",0,G31/'Input Global'!G$19)</f>
        <v>0.4876653809658546</v>
      </c>
      <c r="H108" s="107">
        <f ca="1">IF(LEFT($A$99,5)="blank",0,H31/'Input Global'!H$19)</f>
        <v>0.51641645576275408</v>
      </c>
    </row>
    <row r="109" spans="1:8" x14ac:dyDescent="0.3">
      <c r="A109" s="11" t="str">
        <f t="shared" si="11"/>
        <v>Small Scale Renewable Energy Scheme</v>
      </c>
      <c r="C109" t="s">
        <v>17</v>
      </c>
      <c r="D109" s="107">
        <f ca="1">IF(LEFT($A$99,5)="blank",0,D32/'Input Global'!D$19)</f>
        <v>0</v>
      </c>
      <c r="E109" s="107">
        <f ca="1">IF(LEFT($A$99,5)="blank",0,E32/'Input Global'!E$19)</f>
        <v>0.63037500000000002</v>
      </c>
      <c r="F109" s="107">
        <f ca="1">IF(LEFT($A$99,5)="blank",0,F32/'Input Global'!F$19)</f>
        <v>0.57502500000000001</v>
      </c>
      <c r="G109" s="107">
        <f ca="1">IF(LEFT($A$99,5)="blank",0,G32/'Input Global'!G$19)</f>
        <v>0.25308310344827584</v>
      </c>
      <c r="H109" s="107">
        <f ca="1">IF(LEFT($A$99,5)="blank",0,H32/'Input Global'!H$19)</f>
        <v>0.21991551724137939</v>
      </c>
    </row>
    <row r="110" spans="1:8" x14ac:dyDescent="0.3">
      <c r="A110" s="11" t="str">
        <f t="shared" si="11"/>
        <v>Energy savings</v>
      </c>
      <c r="C110" t="s">
        <v>17</v>
      </c>
      <c r="D110" s="107">
        <f ca="1">IF(LEFT($A$99,5)="blank",0,D33/'Input Global'!D$19)</f>
        <v>7.1999999999999995E-2</v>
      </c>
      <c r="E110" s="107">
        <f ca="1">IF(LEFT($A$99,5)="blank",0,E33/'Input Global'!E$19)</f>
        <v>0.111725</v>
      </c>
      <c r="F110" s="107">
        <f ca="1">IF(LEFT($A$99,5)="blank",0,F33/'Input Global'!F$19)</f>
        <v>0.154775</v>
      </c>
      <c r="G110" s="107">
        <f ca="1">IF(LEFT($A$99,5)="blank",0,G33/'Input Global'!G$19)</f>
        <v>0</v>
      </c>
      <c r="H110" s="107">
        <f ca="1">IF(LEFT($A$99,5)="blank",0,H33/'Input Global'!H$19)</f>
        <v>0</v>
      </c>
    </row>
    <row r="111" spans="1:8" x14ac:dyDescent="0.3">
      <c r="A111" s="11" t="str">
        <f t="shared" si="11"/>
        <v>Blank</v>
      </c>
      <c r="C111" t="s">
        <v>17</v>
      </c>
      <c r="D111" s="107">
        <f ca="1">IF(LEFT($A$99,5)="blank",0,D34/'Input Global'!D$19)</f>
        <v>0</v>
      </c>
      <c r="E111" s="107">
        <f ca="1">IF(LEFT($A$99,5)="blank",0,E34/'Input Global'!E$19)</f>
        <v>0</v>
      </c>
      <c r="F111" s="107">
        <f ca="1">IF(LEFT($A$99,5)="blank",0,F34/'Input Global'!F$19)</f>
        <v>0</v>
      </c>
      <c r="G111" s="107">
        <f ca="1">IF(LEFT($A$99,5)="blank",0,G34/'Input Global'!G$19)</f>
        <v>0</v>
      </c>
      <c r="H111" s="107">
        <f ca="1">IF(LEFT($A$99,5)="blank",0,H34/'Input Global'!H$19)</f>
        <v>0</v>
      </c>
    </row>
    <row r="112" spans="1:8" x14ac:dyDescent="0.3">
      <c r="A112" s="12" t="s">
        <v>61</v>
      </c>
      <c r="B112" s="12"/>
      <c r="C112" s="12" t="s">
        <v>17</v>
      </c>
      <c r="D112" s="107">
        <f ca="1">SUM(D100:D111)</f>
        <v>25.232406964119651</v>
      </c>
      <c r="E112" s="107">
        <f t="shared" ref="E112:H112" ca="1" si="12">SUM(E100:E111)</f>
        <v>29.468598538571431</v>
      </c>
      <c r="F112" s="107">
        <f t="shared" ca="1" si="12"/>
        <v>35.860175661343952</v>
      </c>
      <c r="G112" s="107">
        <f t="shared" ca="1" si="12"/>
        <v>34.351998028688129</v>
      </c>
      <c r="H112" s="107">
        <f t="shared" ca="1" si="12"/>
        <v>35.250189952626137</v>
      </c>
    </row>
    <row r="114" spans="1:8" x14ac:dyDescent="0.3">
      <c r="A114" s="8" t="str">
        <f>Dist3</f>
        <v>Endeavour</v>
      </c>
    </row>
    <row r="115" spans="1:8" x14ac:dyDescent="0.3">
      <c r="A115" t="str">
        <f>A100</f>
        <v>Wholesale</v>
      </c>
      <c r="C115" t="s">
        <v>17</v>
      </c>
      <c r="D115" s="107">
        <f ca="1">IF(LEFT($A$114,5)="blank",0,D38/'Input Global'!D$20)</f>
        <v>7.7910000000000004</v>
      </c>
      <c r="E115" s="107">
        <f ca="1">IF(LEFT($A$114,5)="blank",0,E38/'Input Global'!E$20)</f>
        <v>7.8330000000000002</v>
      </c>
      <c r="F115" s="107">
        <f ca="1">IF(LEFT($A$114,5)="blank",0,F38/'Input Global'!F$20)</f>
        <v>7.9835999999999991</v>
      </c>
      <c r="G115" s="107">
        <f ca="1">IF(LEFT($A$114,5)="blank",0,G38/'Input Global'!G$20)</f>
        <v>7.0278332716142025</v>
      </c>
      <c r="H115" s="107">
        <f ca="1">IF(LEFT($A$114,5)="blank",0,H38/'Input Global'!H$20)</f>
        <v>7.3110200030138817</v>
      </c>
    </row>
    <row r="116" spans="1:8" x14ac:dyDescent="0.3">
      <c r="A116" t="str">
        <f t="shared" ref="A116:A126" si="13">A101</f>
        <v>Transmission</v>
      </c>
      <c r="C116" t="s">
        <v>17</v>
      </c>
      <c r="D116" s="107">
        <f>IF(LEFT($A$114,5)="blank",0,D39/'Input Global'!D$20)</f>
        <v>1.249397574532169</v>
      </c>
      <c r="E116" s="107">
        <f>IF(LEFT($A$114,5)="blank",0,E39/'Input Global'!E$20)</f>
        <v>1.2585029639840879</v>
      </c>
      <c r="F116" s="107">
        <f>IF(LEFT($A$114,5)="blank",0,F39/'Input Global'!F$20)</f>
        <v>1.422070621886677</v>
      </c>
      <c r="G116" s="107">
        <f>IF(LEFT($A$114,5)="blank",0,G39/'Input Global'!G$20)</f>
        <v>1.521141307676761</v>
      </c>
      <c r="H116" s="107">
        <f>IF(LEFT($A$114,5)="blank",0,H39/'Input Global'!H$20)</f>
        <v>1.6271139015942322</v>
      </c>
    </row>
    <row r="117" spans="1:8" x14ac:dyDescent="0.3">
      <c r="A117" t="str">
        <f t="shared" si="13"/>
        <v>Distribution</v>
      </c>
      <c r="C117" t="s">
        <v>17</v>
      </c>
      <c r="D117" s="107">
        <f>IF(LEFT($A$114,5)="blank",0,D40/'Input Global'!D$20)</f>
        <v>9.6471469064325959</v>
      </c>
      <c r="E117" s="107">
        <f>IF(LEFT($A$114,5)="blank",0,E40/'Input Global'!E$20)</f>
        <v>11.275603248719619</v>
      </c>
      <c r="F117" s="107">
        <f>IF(LEFT($A$114,5)="blank",0,F40/'Input Global'!F$20)</f>
        <v>8.1274565157935008</v>
      </c>
      <c r="G117" s="107">
        <f>IF(LEFT($A$114,5)="blank",0,G40/'Input Global'!G$20)</f>
        <v>7.2969442103148969</v>
      </c>
      <c r="H117" s="107">
        <f>IF(LEFT($A$114,5)="blank",0,H40/'Input Global'!H$20)</f>
        <v>7.6004007355727694</v>
      </c>
    </row>
    <row r="118" spans="1:8" x14ac:dyDescent="0.3">
      <c r="A118" t="str">
        <f t="shared" si="13"/>
        <v>Retail</v>
      </c>
      <c r="C118" t="s">
        <v>17</v>
      </c>
      <c r="D118" s="107">
        <f>IF(LEFT($A$114,5)="blank",0,D41/'Input Global'!D$20)</f>
        <v>1.1400000000000001</v>
      </c>
      <c r="E118" s="107">
        <f>IF(LEFT($A$114,5)="blank",0,E41/'Input Global'!E$20)</f>
        <v>1.32</v>
      </c>
      <c r="F118" s="107">
        <f>IF(LEFT($A$114,5)="blank",0,F41/'Input Global'!F$20)</f>
        <v>1.3837499999999998</v>
      </c>
      <c r="G118" s="107">
        <f>IF(LEFT($A$114,5)="blank",0,G41/'Input Global'!G$20)</f>
        <v>1.4183437499999996</v>
      </c>
      <c r="H118" s="107">
        <f>IF(LEFT($A$114,5)="blank",0,H41/'Input Global'!H$20)</f>
        <v>1.4538023437499994</v>
      </c>
    </row>
    <row r="119" spans="1:8" x14ac:dyDescent="0.3">
      <c r="A119" t="str">
        <f t="shared" si="13"/>
        <v>Retail and Residual</v>
      </c>
      <c r="C119" t="s">
        <v>17</v>
      </c>
      <c r="D119" s="107">
        <f ca="1">IF(LEFT($A$114,5)="blank",0,D42/'Input Global'!D$20)</f>
        <v>1.0968126019720974</v>
      </c>
      <c r="E119" s="107">
        <f ca="1">IF(LEFT($A$114,5)="blank",0,E42/'Input Global'!E$20)</f>
        <v>1.2377909192546555</v>
      </c>
      <c r="F119" s="107">
        <f ca="1">IF(LEFT($A$114,5)="blank",0,F42/'Input Global'!F$20)</f>
        <v>1.4056673654347296</v>
      </c>
      <c r="G119" s="107">
        <f ca="1">IF(LEFT($A$114,5)="blank",0,G42/'Input Global'!G$20)</f>
        <v>1.3545971423334868</v>
      </c>
      <c r="H119" s="107">
        <f ca="1">IF(LEFT($A$114,5)="blank",0,H42/'Input Global'!H$20)</f>
        <v>1.3878640559202715</v>
      </c>
    </row>
    <row r="120" spans="1:8" x14ac:dyDescent="0.3">
      <c r="A120" t="str">
        <f t="shared" si="13"/>
        <v>Green Schemes</v>
      </c>
      <c r="C120" t="s">
        <v>17</v>
      </c>
      <c r="D120" s="103"/>
      <c r="E120" s="103"/>
      <c r="F120" s="103"/>
      <c r="G120" s="103"/>
      <c r="H120" s="103"/>
    </row>
    <row r="121" spans="1:8" x14ac:dyDescent="0.3">
      <c r="A121" s="11" t="str">
        <f t="shared" si="13"/>
        <v>Feed-in Tariffs</v>
      </c>
      <c r="C121" t="s">
        <v>17</v>
      </c>
      <c r="D121" s="107">
        <f>IF(LEFT($A$114,5)="blank",0,D44/'Input Global'!D$20)</f>
        <v>0.22779999999999997</v>
      </c>
      <c r="E121" s="107">
        <f>IF(LEFT($A$114,5)="blank",0,E44/'Input Global'!E$20)</f>
        <v>0.22942284756769224</v>
      </c>
      <c r="F121" s="107">
        <f>IF(LEFT($A$114,5)="blank",0,F44/'Input Global'!F$20)</f>
        <v>3.9219999999999993</v>
      </c>
      <c r="G121" s="107">
        <f>IF(LEFT($A$114,5)="blank",0,G44/'Input Global'!G$20)</f>
        <v>4.8413167999999986</v>
      </c>
      <c r="H121" s="107">
        <f>IF(LEFT($A$114,5)="blank",0,H44/'Input Global'!H$20)</f>
        <v>4.8413167999999986</v>
      </c>
    </row>
    <row r="122" spans="1:8" x14ac:dyDescent="0.3">
      <c r="A122" s="11" t="str">
        <f t="shared" si="13"/>
        <v>Carbon costs</v>
      </c>
      <c r="C122" t="s">
        <v>17</v>
      </c>
      <c r="D122" s="107">
        <f ca="1">IF(LEFT($A$114,5)="blank",0,D45/'Input Global'!D$20)</f>
        <v>0</v>
      </c>
      <c r="E122" s="107">
        <f ca="1">IF(LEFT($A$114,5)="blank",0,E45/'Input Global'!E$20)</f>
        <v>0</v>
      </c>
      <c r="F122" s="107">
        <f ca="1">IF(LEFT($A$114,5)="blank",0,F45/'Input Global'!F$20)</f>
        <v>2.0139999999999998</v>
      </c>
      <c r="G122" s="107">
        <f ca="1">IF(LEFT($A$114,5)="blank",0,G45/'Input Global'!G$20)</f>
        <v>2.2407406156520184</v>
      </c>
      <c r="H122" s="107">
        <f ca="1">IF(LEFT($A$114,5)="blank",0,H45/'Input Global'!H$20)</f>
        <v>2.1324960407321694</v>
      </c>
    </row>
    <row r="123" spans="1:8" x14ac:dyDescent="0.3">
      <c r="A123" s="11" t="str">
        <f t="shared" si="13"/>
        <v>Large Scale Renewable Energy Target</v>
      </c>
      <c r="C123" t="s">
        <v>17</v>
      </c>
      <c r="D123" s="107">
        <f ca="1">IF(LEFT($A$114,5)="blank",0,D46/'Input Global'!D$20)</f>
        <v>0.184</v>
      </c>
      <c r="E123" s="107">
        <f ca="1">IF(LEFT($A$114,5)="blank",0,E46/'Input Global'!E$20)</f>
        <v>0.27060000000000001</v>
      </c>
      <c r="F123" s="107">
        <f ca="1">IF(LEFT($A$114,5)="blank",0,F46/'Input Global'!F$20)</f>
        <v>0.45700000000000002</v>
      </c>
      <c r="G123" s="107">
        <f ca="1">IF(LEFT($A$114,5)="blank",0,G46/'Input Global'!G$20)</f>
        <v>0.48970133839023428</v>
      </c>
      <c r="H123" s="107">
        <f ca="1">IF(LEFT($A$114,5)="blank",0,H46/'Input Global'!H$20)</f>
        <v>0.51857244623946097</v>
      </c>
    </row>
    <row r="124" spans="1:8" x14ac:dyDescent="0.3">
      <c r="A124" s="11" t="str">
        <f t="shared" si="13"/>
        <v>Small Scale Renewable Energy Scheme</v>
      </c>
      <c r="C124" t="s">
        <v>17</v>
      </c>
      <c r="D124" s="107">
        <f ca="1">IF(LEFT($A$114,5)="blank",0,D47/'Input Global'!D$20)</f>
        <v>0</v>
      </c>
      <c r="E124" s="107">
        <f ca="1">IF(LEFT($A$114,5)="blank",0,E47/'Input Global'!E$20)</f>
        <v>0.62319999999999998</v>
      </c>
      <c r="F124" s="107">
        <f ca="1">IF(LEFT($A$114,5)="blank",0,F47/'Input Global'!F$20)</f>
        <v>0.56599999999999995</v>
      </c>
      <c r="G124" s="107">
        <f ca="1">IF(LEFT($A$114,5)="blank",0,G47/'Input Global'!G$20)</f>
        <v>0.24911097178683381</v>
      </c>
      <c r="H124" s="107">
        <f ca="1">IF(LEFT($A$114,5)="blank",0,H47/'Input Global'!H$20)</f>
        <v>0.2164639498432602</v>
      </c>
    </row>
    <row r="125" spans="1:8" x14ac:dyDescent="0.3">
      <c r="A125" s="11" t="str">
        <f t="shared" si="13"/>
        <v>Energy savings</v>
      </c>
      <c r="C125" t="s">
        <v>17</v>
      </c>
      <c r="D125" s="107">
        <f ca="1">IF(LEFT($A$114,5)="blank",0,D48/'Input Global'!D$20)</f>
        <v>7.1999999999999995E-2</v>
      </c>
      <c r="E125" s="107">
        <f ca="1">IF(LEFT($A$114,5)="blank",0,E48/'Input Global'!E$20)</f>
        <v>0.111725</v>
      </c>
      <c r="F125" s="107">
        <f ca="1">IF(LEFT($A$114,5)="blank",0,F48/'Input Global'!F$20)</f>
        <v>0.155</v>
      </c>
      <c r="G125" s="107">
        <f ca="1">IF(LEFT($A$114,5)="blank",0,G48/'Input Global'!G$20)</f>
        <v>0</v>
      </c>
      <c r="H125" s="107">
        <f ca="1">IF(LEFT($A$114,5)="blank",0,H48/'Input Global'!H$20)</f>
        <v>0</v>
      </c>
    </row>
    <row r="126" spans="1:8" x14ac:dyDescent="0.3">
      <c r="A126" s="11" t="str">
        <f t="shared" si="13"/>
        <v>Blank</v>
      </c>
      <c r="C126" t="s">
        <v>17</v>
      </c>
      <c r="D126" s="107">
        <f ca="1">IF(LEFT($A$114,5)="blank",0,D49/'Input Global'!D$20)</f>
        <v>0</v>
      </c>
      <c r="E126" s="107">
        <f ca="1">IF(LEFT($A$114,5)="blank",0,E49/'Input Global'!E$20)</f>
        <v>0</v>
      </c>
      <c r="F126" s="107">
        <f ca="1">IF(LEFT($A$114,5)="blank",0,F49/'Input Global'!F$20)</f>
        <v>0</v>
      </c>
      <c r="G126" s="107">
        <f ca="1">IF(LEFT($A$114,5)="blank",0,G49/'Input Global'!G$20)</f>
        <v>0</v>
      </c>
      <c r="H126" s="107">
        <f ca="1">IF(LEFT($A$114,5)="blank",0,H49/'Input Global'!H$20)</f>
        <v>0</v>
      </c>
    </row>
    <row r="127" spans="1:8" x14ac:dyDescent="0.3">
      <c r="A127" s="12" t="s">
        <v>61</v>
      </c>
      <c r="B127" s="12"/>
      <c r="C127" s="12" t="s">
        <v>17</v>
      </c>
      <c r="D127" s="107">
        <f ca="1">SUM(D115:D126)</f>
        <v>21.408157082936864</v>
      </c>
      <c r="E127" s="107">
        <f t="shared" ref="E127:H127" ca="1" si="14">SUM(E115:E126)</f>
        <v>24.15984497952606</v>
      </c>
      <c r="F127" s="107">
        <f t="shared" ca="1" si="14"/>
        <v>27.436544503114906</v>
      </c>
      <c r="G127" s="107">
        <f t="shared" ca="1" si="14"/>
        <v>26.439729407768429</v>
      </c>
      <c r="H127" s="107">
        <f t="shared" ca="1" si="14"/>
        <v>27.089050276666043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17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17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17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17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17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17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17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17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17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17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1" t="str">
        <f t="shared" si="15"/>
        <v>Energy savings</v>
      </c>
      <c r="C140" t="s">
        <v>17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17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12" t="s">
        <v>61</v>
      </c>
      <c r="B142" s="12"/>
      <c r="C142" s="12" t="s">
        <v>17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17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17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17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17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17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17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17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17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17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17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1" t="str">
        <f t="shared" si="17"/>
        <v>Energy savings</v>
      </c>
      <c r="C155" t="s">
        <v>17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17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12" t="s">
        <v>61</v>
      </c>
      <c r="B157" s="12"/>
      <c r="C157" s="12" t="s">
        <v>17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" t="s">
        <v>74</v>
      </c>
    </row>
    <row r="160" spans="1:8" x14ac:dyDescent="0.3">
      <c r="A160" t="str">
        <f>Dist1</f>
        <v xml:space="preserve">Ausgrid </v>
      </c>
      <c r="B160" t="s">
        <v>43</v>
      </c>
      <c r="C160" t="s">
        <v>29</v>
      </c>
      <c r="D160" s="108">
        <f>'Input Global'!D25/'Input Global'!D$30</f>
        <v>0.52009242680069001</v>
      </c>
      <c r="E160" s="108">
        <f>'Input Global'!E25/'Input Global'!E$30</f>
        <v>0.52009242680069001</v>
      </c>
      <c r="F160" s="108">
        <f>'Input Global'!F25/'Input Global'!F$30</f>
        <v>0.52009242680069001</v>
      </c>
      <c r="G160" s="108">
        <f>'Input Global'!G25/'Input Global'!G$30</f>
        <v>0.52009242680069001</v>
      </c>
      <c r="H160" s="108">
        <f>'Input Global'!H25/'Input Global'!H$30</f>
        <v>0.52009242680069001</v>
      </c>
    </row>
    <row r="161" spans="1:8" x14ac:dyDescent="0.3">
      <c r="A161" t="str">
        <f>Dist2</f>
        <v>Essential</v>
      </c>
      <c r="B161" t="s">
        <v>43</v>
      </c>
      <c r="C161" t="s">
        <v>29</v>
      </c>
      <c r="D161" s="108">
        <f>'Input Global'!D26/'Input Global'!D$30</f>
        <v>0.22405504769188242</v>
      </c>
      <c r="E161" s="108">
        <f>'Input Global'!E26/'Input Global'!E$30</f>
        <v>0.22405504769188242</v>
      </c>
      <c r="F161" s="108">
        <f>'Input Global'!F26/'Input Global'!F$30</f>
        <v>0.22405504769188242</v>
      </c>
      <c r="G161" s="108">
        <f>'Input Global'!G26/'Input Global'!G$30</f>
        <v>0.22405504769188242</v>
      </c>
      <c r="H161" s="108">
        <f>'Input Global'!H26/'Input Global'!H$30</f>
        <v>0.22405504769188242</v>
      </c>
    </row>
    <row r="162" spans="1:8" x14ac:dyDescent="0.3">
      <c r="A162" t="str">
        <f>Dist3</f>
        <v>Endeavour</v>
      </c>
      <c r="B162" t="s">
        <v>43</v>
      </c>
      <c r="C162" t="s">
        <v>29</v>
      </c>
      <c r="D162" s="108">
        <f>'Input Global'!D27/'Input Global'!D$30</f>
        <v>0.25585252550742754</v>
      </c>
      <c r="E162" s="108">
        <f>'Input Global'!E27/'Input Global'!E$30</f>
        <v>0.25585252550742754</v>
      </c>
      <c r="F162" s="108">
        <f>'Input Global'!F27/'Input Global'!F$30</f>
        <v>0.25585252550742754</v>
      </c>
      <c r="G162" s="108">
        <f>'Input Global'!G27/'Input Global'!G$30</f>
        <v>0.25585252550742754</v>
      </c>
      <c r="H162" s="108">
        <f>'Input Global'!H27/'Input Global'!H$30</f>
        <v>0.25585252550742754</v>
      </c>
    </row>
    <row r="163" spans="1:8" hidden="1" x14ac:dyDescent="0.3">
      <c r="A163" t="str">
        <f>Dist4</f>
        <v>blank</v>
      </c>
      <c r="B163" t="s">
        <v>43</v>
      </c>
      <c r="C163" t="s">
        <v>29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t="str">
        <f>Dist5</f>
        <v>blank</v>
      </c>
      <c r="B164" t="s">
        <v>43</v>
      </c>
      <c r="C164" t="s">
        <v>29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65"/>
  <sheetViews>
    <sheetView zoomScaleNormal="100" workbookViewId="0">
      <pane xSplit="3" ySplit="4" topLeftCell="D112" activePane="bottomRight" state="frozenSplit"/>
      <selection activeCell="E6" sqref="E6"/>
      <selection pane="topRight" activeCell="E6" sqref="E6"/>
      <selection pane="bottomLeft" activeCell="E6" sqref="E6"/>
      <selection pane="bottomRight" activeCell="I168" sqref="I168"/>
    </sheetView>
  </sheetViews>
  <sheetFormatPr defaultRowHeight="16.5" x14ac:dyDescent="0.3"/>
  <cols>
    <col min="1" max="1" width="20.28515625" bestFit="1" customWidth="1"/>
    <col min="2" max="2" width="14.140625" customWidth="1"/>
    <col min="4" max="4" width="10.5703125" style="97" bestFit="1" customWidth="1"/>
    <col min="5" max="5" width="11.5703125" style="97" bestFit="1" customWidth="1"/>
    <col min="6" max="6" width="12.7109375" style="97" bestFit="1" customWidth="1"/>
    <col min="7" max="7" width="10.42578125" style="97" bestFit="1" customWidth="1"/>
    <col min="8" max="8" width="12" style="97" bestFit="1" customWidth="1"/>
    <col min="9" max="9" width="12.7109375" bestFit="1" customWidth="1"/>
    <col min="15" max="15" width="10.5703125" bestFit="1" customWidth="1"/>
  </cols>
  <sheetData>
    <row r="1" spans="1:16" s="2" customFormat="1" ht="23.25" x14ac:dyDescent="0.35">
      <c r="A1" s="2" t="s">
        <v>7</v>
      </c>
      <c r="B1" s="7" t="str">
        <f ca="1">'Input Global'!B1</f>
        <v>2012 Pricing Trends - model - NSW</v>
      </c>
      <c r="C1" s="5"/>
      <c r="D1" s="99"/>
      <c r="E1" s="99"/>
      <c r="F1" s="99"/>
      <c r="G1" s="98"/>
      <c r="H1" s="98"/>
      <c r="I1" s="79" t="s">
        <v>37</v>
      </c>
    </row>
    <row r="2" spans="1:16" s="2" customFormat="1" ht="19.5" thickBot="1" x14ac:dyDescent="0.35">
      <c r="B2" s="4" t="str">
        <f ca="1">RIGHT(CELL("filename",B2),LEN(CELL("filename",B2))-SEARCH("]",CELL("filename",B2)))</f>
        <v>Calc (Market Slow Rate)</v>
      </c>
      <c r="C2" s="3"/>
      <c r="D2" s="100"/>
      <c r="E2" s="100"/>
      <c r="F2" s="100"/>
      <c r="G2" s="98"/>
      <c r="H2" s="98"/>
      <c r="I2" s="85" t="s">
        <v>31</v>
      </c>
    </row>
    <row r="3" spans="1:16" s="2" customFormat="1" ht="17.25" thickBot="1" x14ac:dyDescent="0.35">
      <c r="D3" s="98"/>
      <c r="E3" s="98"/>
      <c r="F3" s="98"/>
      <c r="G3" s="98"/>
      <c r="H3" s="98"/>
      <c r="I3" s="86" t="s">
        <v>38</v>
      </c>
    </row>
    <row r="4" spans="1:16" s="2" customFormat="1" ht="15" x14ac:dyDescent="0.25">
      <c r="B4" s="6"/>
      <c r="C4" s="6" t="s">
        <v>14</v>
      </c>
      <c r="D4" s="101" t="str">
        <f>'Input Global'!D4</f>
        <v>2010/11</v>
      </c>
      <c r="E4" s="101" t="str">
        <f>'Input Global'!E4</f>
        <v>2011/12</v>
      </c>
      <c r="F4" s="101" t="str">
        <f>'Input Global'!F4</f>
        <v>2012/13</v>
      </c>
      <c r="G4" s="101" t="str">
        <f>'Input Global'!G4</f>
        <v>2013/14</v>
      </c>
      <c r="H4" s="101" t="str">
        <f>'Input Global'!H4</f>
        <v>2014/15</v>
      </c>
    </row>
    <row r="6" spans="1:16" ht="18.75" x14ac:dyDescent="0.3">
      <c r="A6" s="1" t="s">
        <v>44</v>
      </c>
      <c r="B6" s="1" t="s">
        <v>48</v>
      </c>
    </row>
    <row r="7" spans="1:16" x14ac:dyDescent="0.3">
      <c r="A7" s="8" t="str">
        <f>Dist1</f>
        <v xml:space="preserve">Ausgrid </v>
      </c>
    </row>
    <row r="8" spans="1:16" x14ac:dyDescent="0.3">
      <c r="A8" t="str">
        <f>'Calc (Jurisdiction)'!A8</f>
        <v>Wholesale</v>
      </c>
      <c r="C8" t="s">
        <v>63</v>
      </c>
      <c r="D8" s="107">
        <f ca="1">VLOOKUP($B$2,dist1wholesale,COLUMN('Calc (Jurisdiction)'!D8),FALSE)*'Input Global'!D18</f>
        <v>52080</v>
      </c>
      <c r="E8" s="107">
        <f ca="1">VLOOKUP($B$2,dist1wholesale,COLUMN('Calc (Jurisdiction)'!E8),FALSE)*'Input Global'!E18</f>
        <v>51548</v>
      </c>
      <c r="F8" s="107">
        <f ca="1">VLOOKUP($B$2,dist1wholesale,COLUMN('Calc (Jurisdiction)'!F8),FALSE)*'Input Global'!F18</f>
        <v>52102.740550000002</v>
      </c>
      <c r="G8" s="107">
        <f ca="1">VLOOKUP($B$2,dist1wholesale,COLUMN('Calc (Jurisdiction)'!G8),FALSE)*'Input Global'!G18</f>
        <v>49711.265861762142</v>
      </c>
      <c r="H8" s="107">
        <f ca="1">VLOOKUP($B$2,dist1wholesale,COLUMN('Calc (Jurisdiction)'!H8),FALSE)*'Input Global'!H18</f>
        <v>48087.300210442263</v>
      </c>
    </row>
    <row r="9" spans="1:16" x14ac:dyDescent="0.3">
      <c r="A9" t="str">
        <f>'Calc (Jurisdiction)'!A9</f>
        <v>Transmission</v>
      </c>
      <c r="C9" t="s">
        <v>63</v>
      </c>
      <c r="D9" s="107">
        <f>'Input General'!D8+(SUMPRODUCT('Input General'!D9:D12,'Input General'!D73:D76)*'Input Global'!D18)</f>
        <v>13643.396656357232</v>
      </c>
      <c r="E9" s="107">
        <f>'Input General'!E8+(SUMPRODUCT('Input General'!E9:E12,'Input General'!E73:E76)*'Input Global'!E18)</f>
        <v>17085.511121963093</v>
      </c>
      <c r="F9" s="107">
        <f>'Input General'!F8+(SUMPRODUCT('Input General'!F9:F12,'Input General'!F73:F76)*'Input Global'!F18)</f>
        <v>34551.444272383662</v>
      </c>
      <c r="G9" s="107">
        <f>'Input General'!G8+(SUMPRODUCT('Input General'!G9:G12,'Input General'!G73:G76)*'Input Global'!G18)</f>
        <v>36958.522533069154</v>
      </c>
      <c r="H9" s="107">
        <f>'Input General'!H8+(SUMPRODUCT('Input General'!H9:H12,'Input General'!H73:H76)*'Input Global'!H18)</f>
        <v>39533.293516159778</v>
      </c>
    </row>
    <row r="10" spans="1:16" x14ac:dyDescent="0.3">
      <c r="A10" t="str">
        <f>'Calc (Jurisdiction)'!A10</f>
        <v>Distribution</v>
      </c>
      <c r="C10" t="s">
        <v>63</v>
      </c>
      <c r="D10" s="107">
        <f>'Input General'!D28+SUMPRODUCT('Input General'!D29:D32,'Input General'!D73:D76)*'Input Global'!D18+'Input General'!D47</f>
        <v>62286.834148305898</v>
      </c>
      <c r="E10" s="107">
        <f>'Input General'!E28+SUMPRODUCT('Input General'!E29:E32,'Input General'!E73:E76)*'Input Global'!E18+'Input General'!E47</f>
        <v>74373.050202635233</v>
      </c>
      <c r="F10" s="107">
        <f>'Input General'!F28+SUMPRODUCT('Input General'!F29:F32,'Input General'!F73:F76)*'Input Global'!F18+'Input General'!F47</f>
        <v>74017.827471978759</v>
      </c>
      <c r="G10" s="107">
        <f>'Input General'!G28+SUMPRODUCT('Input General'!G29:G32,'Input General'!G73:G76)*'Input Global'!G18+'Input General'!G47</f>
        <v>74687.392682512756</v>
      </c>
      <c r="H10" s="107">
        <f>'Input General'!H28+SUMPRODUCT('Input General'!H29:H32,'Input General'!H73:H76)*'Input Global'!H18+'Input General'!H47</f>
        <v>76639.320418420059</v>
      </c>
      <c r="P10" s="9"/>
    </row>
    <row r="11" spans="1:16" x14ac:dyDescent="0.3">
      <c r="A11" t="str">
        <f>'Calc (Jurisdiction)'!A11</f>
        <v>Retail</v>
      </c>
      <c r="C11" t="s">
        <v>63</v>
      </c>
      <c r="D11" s="107">
        <f>'Input General'!D90*'Input Global'!D18</f>
        <v>9870</v>
      </c>
      <c r="E11" s="107">
        <f>'Input General'!E90*'Input Global'!E18</f>
        <v>9870</v>
      </c>
      <c r="F11" s="107">
        <f>'Input General'!F90*'Input Global'!F18</f>
        <v>10332</v>
      </c>
      <c r="G11" s="107">
        <f>'Input General'!G90*'Input Global'!G18</f>
        <v>10590.3</v>
      </c>
      <c r="H11" s="107">
        <f>'Input General'!H90*'Input Global'!H18</f>
        <v>10855.057499999997</v>
      </c>
      <c r="K11" s="14"/>
      <c r="M11" s="13"/>
      <c r="O11" s="9"/>
      <c r="P11" s="9"/>
    </row>
    <row r="12" spans="1:16" x14ac:dyDescent="0.3">
      <c r="A12" t="str">
        <f>'Calc (Jurisdiction)'!A12</f>
        <v>Retail and Residual</v>
      </c>
      <c r="C12" t="s">
        <v>63</v>
      </c>
      <c r="D12" s="107">
        <f ca="1">VLOOKUP($B$2,'Input General'!$A$143:$H$147,COLUMN(D12),FALSE)*'Input Global'!D33</f>
        <v>7609.2064634518083</v>
      </c>
      <c r="E12" s="107">
        <f ca="1">VLOOKUP($B$2,'Input General'!$A$143:$H$147,COLUMN(E12),FALSE)*'Input Global'!E33</f>
        <v>8710.333363834683</v>
      </c>
      <c r="F12" s="107">
        <f ca="1">VLOOKUP($B$2,'Input General'!$A$143:$H$147,COLUMN(F12),FALSE)*'Input Global'!F33</f>
        <v>10592.981891653271</v>
      </c>
      <c r="G12" s="107">
        <f ca="1">VLOOKUP($B$2,'Input General'!$A$143:$H$147,COLUMN(G12),FALSE)*'Input Global'!G33</f>
        <v>10648.469856476257</v>
      </c>
      <c r="H12" s="107">
        <f ca="1">VLOOKUP($B$2,'Input General'!$A$143:$H$147,COLUMN(H12),FALSE)*'Input Global'!H33</f>
        <v>10766.909410588174</v>
      </c>
      <c r="K12" s="14"/>
      <c r="M12" s="13"/>
      <c r="O12" s="9"/>
      <c r="P12" s="9"/>
    </row>
    <row r="13" spans="1:16" x14ac:dyDescent="0.3">
      <c r="A13" t="str">
        <f>'Calc (Jurisdiction)'!A13</f>
        <v>Green Schemes</v>
      </c>
      <c r="D13" s="103"/>
      <c r="E13" s="103"/>
      <c r="F13" s="103"/>
      <c r="G13" s="103"/>
      <c r="H13" s="103"/>
      <c r="K13" s="14"/>
      <c r="M13" s="13"/>
      <c r="O13" s="9"/>
      <c r="P13" s="9"/>
    </row>
    <row r="14" spans="1:16" x14ac:dyDescent="0.3">
      <c r="A14" s="11" t="str">
        <f>'Calc (Jurisdiction)'!A14</f>
        <v>Feed-in Tariffs</v>
      </c>
      <c r="C14" t="s">
        <v>63</v>
      </c>
      <c r="D14" s="107">
        <f>'Input General'!D53+SUMPRODUCT('Input General'!D54:D57,'Input General'!D73:D76)*'Input Global'!D18</f>
        <v>1239</v>
      </c>
      <c r="E14" s="107">
        <f>'Input General'!E53+SUMPRODUCT('Input General'!E54:E57,'Input General'!E73:E76)*'Input Global'!E18</f>
        <v>1387.2333760439487</v>
      </c>
      <c r="F14" s="107">
        <f>'Input General'!F53+SUMPRODUCT('Input General'!F54:F57,'Input General'!F73:F76)*'Input Global'!F18</f>
        <v>2746.0440325500003</v>
      </c>
      <c r="G14" s="107">
        <f>'Input General'!G53+SUMPRODUCT('Input General'!G54:G57,'Input General'!G73:G76)*'Input Global'!G18</f>
        <v>3389.71675377972</v>
      </c>
      <c r="H14" s="107">
        <f>'Input General'!H53+SUMPRODUCT('Input General'!H54:H57,'Input General'!H73:H76)*'Input Global'!H18</f>
        <v>3389.71675377972</v>
      </c>
    </row>
    <row r="15" spans="1:16" x14ac:dyDescent="0.3">
      <c r="A15" s="11" t="str">
        <f>'Calc (Jurisdiction)'!A15</f>
        <v>Carbon costs</v>
      </c>
      <c r="C15" t="s">
        <v>63</v>
      </c>
      <c r="D15" s="107">
        <f ca="1">VLOOKUP($B$2,'Input General'!$A$176:$H$180, COLUMN('Input General'!D176),FALSE)*'Input Global'!D$18</f>
        <v>0</v>
      </c>
      <c r="E15" s="107">
        <f ca="1">VLOOKUP($B$2,'Input General'!$A$176:$H$180, COLUMN('Input General'!E176),FALSE)*'Input Global'!E$18</f>
        <v>0</v>
      </c>
      <c r="F15" s="107">
        <f ca="1">VLOOKUP($B$2,'Input General'!$A$176:$H$180, COLUMN('Input General'!F176),FALSE)*'Input Global'!F$18</f>
        <v>14299.774999999998</v>
      </c>
      <c r="G15" s="107">
        <f ca="1">VLOOKUP($B$2,'Input General'!$A$176:$H$180, COLUMN('Input General'!G176),FALSE)*'Input Global'!G$18</f>
        <v>16754.926899394031</v>
      </c>
      <c r="H15" s="107">
        <f ca="1">VLOOKUP($B$2,'Input General'!$A$176:$H$180, COLUMN('Input General'!H176),FALSE)*'Input Global'!H$18</f>
        <v>15802.19826832111</v>
      </c>
      <c r="I15" s="10"/>
    </row>
    <row r="16" spans="1:16" x14ac:dyDescent="0.3">
      <c r="A16" s="11" t="str">
        <f>'Calc (Jurisdiction)'!A16</f>
        <v>Large Scale Renewable Energy Target</v>
      </c>
      <c r="C16" t="s">
        <v>63</v>
      </c>
      <c r="D16" s="107">
        <f ca="1">VLOOKUP($B$2,'Input General'!$A215:$H220,COLUMN(D16),FALSE)*'Input Global'!D18</f>
        <v>1288</v>
      </c>
      <c r="E16" s="107">
        <f ca="1">VLOOKUP($B$2,'Input General'!$A215:$H220,COLUMN(E16),FALSE)*'Input Global'!E18</f>
        <v>1915.7249999999997</v>
      </c>
      <c r="F16" s="107">
        <f ca="1">VLOOKUP($B$2,'Input General'!$A215:$H220,COLUMN(F16),FALSE)*'Input Global'!F18</f>
        <v>3178.5249999999996</v>
      </c>
      <c r="G16" s="107">
        <f ca="1">VLOOKUP($B$2,'Input General'!$A215:$H220,COLUMN(G16),FALSE)*'Input Global'!G18</f>
        <v>3405.9693688625798</v>
      </c>
      <c r="H16" s="107">
        <f ca="1">VLOOKUP($B$2,'Input General'!$A215:$H220,COLUMN(H16),FALSE)*'Input Global'!H18</f>
        <v>3606.7730726673558</v>
      </c>
      <c r="I16" s="10"/>
    </row>
    <row r="17" spans="1:9" x14ac:dyDescent="0.3">
      <c r="A17" s="11" t="str">
        <f>'Calc (Jurisdiction)'!A17</f>
        <v>Small Scale Renewable Energy Scheme</v>
      </c>
      <c r="C17" t="s">
        <v>63</v>
      </c>
      <c r="D17" s="107">
        <f ca="1">'Input General'!D91*'Input Global'!D18</f>
        <v>0</v>
      </c>
      <c r="E17" s="107">
        <f ca="1">'Input General'!E91*'Input Global'!E18</f>
        <v>4340.8749999999991</v>
      </c>
      <c r="F17" s="107">
        <f ca="1">'Input General'!F91*'Input Global'!F18</f>
        <v>3852.9749999999995</v>
      </c>
      <c r="G17" s="107">
        <f ca="1">'Input General'!G91*'Input Global'!G18</f>
        <v>1695.7921316614418</v>
      </c>
      <c r="H17" s="107">
        <f ca="1">'Input General'!H91*'Input Global'!H18</f>
        <v>1473.5515673981197</v>
      </c>
      <c r="I17" s="10"/>
    </row>
    <row r="18" spans="1:9" x14ac:dyDescent="0.3">
      <c r="A18" s="11" t="str">
        <f>'Calc (Jurisdiction)'!A18</f>
        <v>Energy savings</v>
      </c>
      <c r="C18" t="s">
        <v>63</v>
      </c>
      <c r="D18" s="107">
        <f ca="1">VLOOKUP($B$2,'Input General'!$A$103:$H$107,COLUMN(D18),FALSE)*'Input Global'!D$18</f>
        <v>503.99999999999994</v>
      </c>
      <c r="E18" s="107">
        <f ca="1">VLOOKUP($B$2,'Input General'!$A$103:$H$107,COLUMN(E18),FALSE)*'Input Global'!E$18</f>
        <v>782.07500000000005</v>
      </c>
      <c r="F18" s="107">
        <f ca="1">VLOOKUP($B$2,'Input General'!$A$103:$H$107,COLUMN(F18),FALSE)*'Input Global'!F$18</f>
        <v>1085</v>
      </c>
      <c r="G18" s="107">
        <f ca="1">VLOOKUP($B$2,'Input General'!$A$103:$H$107,COLUMN(G18),FALSE)*'Input Global'!G$18</f>
        <v>0</v>
      </c>
      <c r="H18" s="107">
        <f ca="1">VLOOKUP($B$2,'Input General'!$A$103:$H$107,COLUMN(H18),FALSE)*'Input Global'!H$18</f>
        <v>0</v>
      </c>
      <c r="I18" s="10"/>
    </row>
    <row r="19" spans="1:9" x14ac:dyDescent="0.3">
      <c r="A19" s="11" t="str">
        <f>'Calc (Jurisdiction)'!A19</f>
        <v>Blank</v>
      </c>
      <c r="C19" t="s">
        <v>63</v>
      </c>
      <c r="D19" s="107">
        <f ca="1">VLOOKUP($B$2,'Input General'!$A$123:$H$127,COLUMN(D19),FALSE)*'Input Global'!D$18</f>
        <v>0</v>
      </c>
      <c r="E19" s="107">
        <f ca="1">VLOOKUP($B$2,'Input General'!$A$123:$H$127,COLUMN(E19),FALSE)*'Input Global'!E$18</f>
        <v>0</v>
      </c>
      <c r="F19" s="107">
        <f ca="1">VLOOKUP($B$2,'Input General'!$A$123:$H$127,COLUMN(F19),FALSE)*'Input Global'!F$18</f>
        <v>0</v>
      </c>
      <c r="G19" s="107">
        <f ca="1">VLOOKUP($B$2,'Input General'!$A$123:$H$127,COLUMN(G19),FALSE)*'Input Global'!G$18</f>
        <v>0</v>
      </c>
      <c r="H19" s="107">
        <f ca="1">VLOOKUP($B$2,'Input General'!$A$123:$H$127,COLUMN(H19),FALSE)*'Input Global'!H$18</f>
        <v>0</v>
      </c>
      <c r="I19" s="10"/>
    </row>
    <row r="20" spans="1:9" x14ac:dyDescent="0.3">
      <c r="A20" s="15" t="s">
        <v>61</v>
      </c>
      <c r="B20" s="12"/>
      <c r="C20" s="12" t="s">
        <v>63</v>
      </c>
      <c r="D20" s="107">
        <f ca="1">SUM(D8:D19)</f>
        <v>148520.43726811494</v>
      </c>
      <c r="E20" s="107">
        <f t="shared" ref="E20:H20" ca="1" si="0">SUM(E8:E19)</f>
        <v>170012.80306447696</v>
      </c>
      <c r="F20" s="107">
        <f t="shared" ca="1" si="0"/>
        <v>206759.31321856569</v>
      </c>
      <c r="G20" s="107">
        <f t="shared" ca="1" si="0"/>
        <v>207842.35608751804</v>
      </c>
      <c r="H20" s="107">
        <f t="shared" ca="1" si="0"/>
        <v>210154.12071777659</v>
      </c>
    </row>
    <row r="21" spans="1:9" x14ac:dyDescent="0.3">
      <c r="D21" s="102"/>
    </row>
    <row r="22" spans="1:9" x14ac:dyDescent="0.3">
      <c r="A22" s="8" t="str">
        <f>Dist2</f>
        <v>Essential</v>
      </c>
    </row>
    <row r="23" spans="1:9" x14ac:dyDescent="0.3">
      <c r="A23" t="str">
        <f>A8</f>
        <v>Wholesale</v>
      </c>
      <c r="C23" t="s">
        <v>63</v>
      </c>
      <c r="D23" s="107">
        <f ca="1">IF(LEFT($A$22,5)="blank",0,VLOOKUP($B$2,dist2wholesale,COLUMN(D8),FALSE)*'Input Global'!D19)</f>
        <v>50813</v>
      </c>
      <c r="E23" s="107">
        <f ca="1">IF(LEFT($A$22,5)="blank",0,VLOOKUP($B$2,dist2wholesale,COLUMN(E8),FALSE)*'Input Global'!E19)</f>
        <v>49917</v>
      </c>
      <c r="F23" s="107">
        <f ca="1">IF(LEFT($A$22,5)="blank",0,VLOOKUP($B$2,dist2wholesale,COLUMN(F8),FALSE)*'Input Global'!F19)</f>
        <v>52210.365550000002</v>
      </c>
      <c r="G23" s="107">
        <f ca="1">IF(LEFT($A$22,5)="blank",0,VLOOKUP($B$2,dist2wholesale,COLUMN(G8),FALSE)*'Input Global'!G19)</f>
        <v>46019.814488596756</v>
      </c>
      <c r="H23" s="107">
        <f ca="1">IF(LEFT($A$22,5)="blank",0,VLOOKUP($B$2,dist2wholesale,COLUMN(H8),FALSE)*'Input Global'!H19)</f>
        <v>45545.892633855365</v>
      </c>
    </row>
    <row r="24" spans="1:9" x14ac:dyDescent="0.3">
      <c r="A24" t="str">
        <f t="shared" ref="A24:A34" si="1">A9</f>
        <v>Transmission</v>
      </c>
      <c r="C24" t="s">
        <v>63</v>
      </c>
      <c r="D24" s="107">
        <f>IF(LEFT($A$22,5)="blank",0,'Input General'!D14+(SUMPRODUCT('Input General'!D15:D18,'Input General'!D78:D81)*'Input Global'!D19))</f>
        <v>14833.721625305587</v>
      </c>
      <c r="E24" s="107">
        <f>IF(LEFT($A$22,5)="blank",0,'Input General'!E14+(SUMPRODUCT('Input General'!E15:E18,'Input General'!E78:E81)*'Input Global'!E19))</f>
        <v>17812.2</v>
      </c>
      <c r="F24" s="107">
        <f>IF(LEFT($A$22,5)="blank",0,'Input General'!F14+(SUMPRODUCT('Input General'!F15:F18,'Input General'!F78:F81)*'Input Global'!F19))</f>
        <v>19373.491992677085</v>
      </c>
      <c r="G24" s="107">
        <f>IF(LEFT($A$22,5)="blank",0,'Input General'!G14+(SUMPRODUCT('Input General'!G15:G18,'Input General'!G78:G81)*'Input Global'!G19))</f>
        <v>20723.175410872456</v>
      </c>
      <c r="H24" s="107">
        <f>IF(LEFT($A$22,5)="blank",0,'Input General'!H14+(SUMPRODUCT('Input General'!H15:H18,'Input General'!H78:H81)*'Input Global'!H19))</f>
        <v>22166.886551588894</v>
      </c>
    </row>
    <row r="25" spans="1:9" x14ac:dyDescent="0.3">
      <c r="A25" t="str">
        <f t="shared" si="1"/>
        <v>Distribution</v>
      </c>
      <c r="C25" t="s">
        <v>63</v>
      </c>
      <c r="D25" s="107">
        <f>IF(LEFT($A$22,5)="blank",0,'Input General'!D34+SUMPRODUCT('Input General'!D35:D38,'Input General'!D78:D81)*'Input Global'!D19+'Input General'!D48)</f>
        <v>89723.450000000303</v>
      </c>
      <c r="E25" s="107">
        <f>IF(LEFT($A$22,5)="blank",0,'Input General'!E34+SUMPRODUCT('Input General'!E35:E38,'Input General'!E78:E81)*'Input Global'!E19+'Input General'!E48)</f>
        <v>109620.68</v>
      </c>
      <c r="F25" s="107">
        <f>IF(LEFT($A$22,5)="blank",0,'Input General'!F34+SUMPRODUCT('Input General'!F35:F38,'Input General'!F78:F81)*'Input Global'!F19+'Input General'!F48)</f>
        <v>131321.078752</v>
      </c>
      <c r="G25" s="107">
        <f>IF(LEFT($A$22,5)="blank",0,'Input General'!G34+SUMPRODUCT('Input General'!G35:G38,'Input General'!G78:G81)*'Input Global'!G19+'Input General'!G48)</f>
        <v>128670.07656065673</v>
      </c>
      <c r="H25" s="107">
        <f>IF(LEFT($A$22,5)="blank",0,'Input General'!H34+SUMPRODUCT('Input General'!H35:H38,'Input General'!H78:H81)*'Input Global'!H19+'Input General'!H48)</f>
        <v>131956.28270434189</v>
      </c>
    </row>
    <row r="26" spans="1:9" x14ac:dyDescent="0.3">
      <c r="A26" t="str">
        <f t="shared" si="1"/>
        <v>Retail</v>
      </c>
      <c r="C26" t="s">
        <v>63</v>
      </c>
      <c r="D26" s="107">
        <f>IF(LEFT($A$22,5)="blank",0,'Input General'!D94*'Input Global'!D19)</f>
        <v>9240</v>
      </c>
      <c r="E26" s="107">
        <f>IF(LEFT($A$22,5)="blank",0,'Input General'!E94*'Input Global'!E19)</f>
        <v>10010</v>
      </c>
      <c r="F26" s="107">
        <f>IF(LEFT($A$22,5)="blank",0,'Input General'!F94*'Input Global'!F19)</f>
        <v>10475.499999999998</v>
      </c>
      <c r="G26" s="107">
        <f>IF(LEFT($A$22,5)="blank",0,'Input General'!G94*'Input Global'!G19)</f>
        <v>10737.387499999999</v>
      </c>
      <c r="H26" s="107">
        <f>IF(LEFT($A$22,5)="blank",0,'Input General'!H94*'Input Global'!H19)</f>
        <v>11005.822187499998</v>
      </c>
    </row>
    <row r="27" spans="1:9" x14ac:dyDescent="0.3">
      <c r="A27" t="str">
        <f t="shared" si="1"/>
        <v>Retail and Residual</v>
      </c>
      <c r="C27" t="s">
        <v>63</v>
      </c>
      <c r="D27" s="107">
        <f ca="1">IF(LEFT($A$22,5)="blank",0,VLOOKUP($B$2,'Input General'!$A$149:$H$153,COLUMN(D12),FALSE)*'Input Global'!D$34)</f>
        <v>9049.1933894091344</v>
      </c>
      <c r="E27" s="107">
        <f ca="1">IF(LEFT($A$22,5)="blank",0,VLOOKUP($B$2,'Input General'!$A$149:$H$153,COLUMN(E12),FALSE)*'Input Global'!E$34)</f>
        <v>10568.43477</v>
      </c>
      <c r="F27" s="107">
        <f ca="1">IF(LEFT($A$22,5)="blank",0,VLOOKUP($B$2,'Input General'!$A$149:$H$153,COLUMN(F12),FALSE)*'Input Global'!F$34)</f>
        <v>12860.670208717282</v>
      </c>
      <c r="G27" s="107">
        <f ca="1">IF(LEFT($A$22,5)="blank",0,VLOOKUP($B$2,'Input General'!$A$149:$H$153,COLUMN(G12),FALSE)*'Input Global'!G$34)</f>
        <v>12462.886570336985</v>
      </c>
      <c r="H27" s="107">
        <f ca="1">IF(LEFT($A$22,5)="blank",0,VLOOKUP($B$2,'Input General'!$A$149:$H$153,COLUMN(H12),FALSE)*'Input Global'!H$34)</f>
        <v>12650.158355752264</v>
      </c>
    </row>
    <row r="28" spans="1:9" x14ac:dyDescent="0.3">
      <c r="A28" t="str">
        <f t="shared" si="1"/>
        <v>Green Schemes</v>
      </c>
      <c r="D28" s="103"/>
      <c r="E28" s="103"/>
      <c r="F28" s="103"/>
      <c r="G28" s="103"/>
      <c r="H28" s="103"/>
    </row>
    <row r="29" spans="1:9" x14ac:dyDescent="0.3">
      <c r="A29" s="11" t="str">
        <f t="shared" si="1"/>
        <v>Feed-in Tariffs</v>
      </c>
      <c r="C29" t="s">
        <v>63</v>
      </c>
      <c r="D29" s="107">
        <f>IF(LEFT($A$22,5)="blank",0,'Input General'!D59+SUMPRODUCT('Input General'!D60:D63,'Input General'!D78:D81)*'Input Global'!D19)</f>
        <v>1175.4837341225127</v>
      </c>
      <c r="E29" s="107">
        <f>IF(LEFT($A$22,5)="blank",0,'Input General'!E59+SUMPRODUCT('Input General'!E60:E63,'Input General'!E78:E81)*'Input Global'!E19)</f>
        <v>1255.8</v>
      </c>
      <c r="F29" s="107">
        <f>IF(LEFT($A$22,5)="blank",0,'Input General'!F59+SUMPRODUCT('Input General'!F60:F63,'Input General'!F78:F81)*'Input Global'!F19)</f>
        <v>2250.6231260133077</v>
      </c>
      <c r="G29" s="107">
        <f>IF(LEFT($A$22,5)="blank",0,'Input General'!G59+SUMPRODUCT('Input General'!G60:G63,'Input General'!G78:G81)*'Input Global'!G19)</f>
        <v>2778.1691867508275</v>
      </c>
      <c r="H29" s="107">
        <f>IF(LEFT($A$22,5)="blank",0,'Input General'!H59+SUMPRODUCT('Input General'!H60:H63,'Input General'!H78:H81)*'Input Global'!H19)</f>
        <v>2778.1691867508275</v>
      </c>
    </row>
    <row r="30" spans="1:9" x14ac:dyDescent="0.3">
      <c r="A30" s="11" t="str">
        <f t="shared" si="1"/>
        <v>Carbon costs</v>
      </c>
      <c r="C30" t="s">
        <v>63</v>
      </c>
      <c r="D30" s="107">
        <f ca="1">IF(LEFT($A$22,5)="blank",0,VLOOKUP($B$2,'Input General'!$A$182:$H$186,COLUMN('Input General'!D182),FALSE)*'Input Global'!D$19)</f>
        <v>0</v>
      </c>
      <c r="E30" s="107">
        <f ca="1">IF(LEFT($A$22,5)="blank",0,VLOOKUP($B$2,'Input General'!$A$182:$H$186,COLUMN('Input General'!E182),FALSE)*'Input Global'!E$19)</f>
        <v>0</v>
      </c>
      <c r="F30" s="107">
        <f ca="1">IF(LEFT($A$22,5)="blank",0,VLOOKUP($B$2,'Input General'!$A$182:$H$186,COLUMN('Input General'!F182),FALSE)*'Input Global'!F$19)</f>
        <v>14235.199999999999</v>
      </c>
      <c r="G30" s="107">
        <f ca="1">IF(LEFT($A$22,5)="blank",0,VLOOKUP($B$2,'Input General'!$A$182:$H$186,COLUMN('Input General'!G182),FALSE)*'Input Global'!G$19)</f>
        <v>16680.333088664003</v>
      </c>
      <c r="H30" s="107">
        <f ca="1">IF(LEFT($A$22,5)="blank",0,VLOOKUP($B$2,'Input General'!$A$182:$H$186,COLUMN('Input General'!H182),FALSE)*'Input Global'!H$19)</f>
        <v>15654.815115857778</v>
      </c>
      <c r="I30" s="10"/>
    </row>
    <row r="31" spans="1:9" x14ac:dyDescent="0.3">
      <c r="A31" s="11" t="str">
        <f t="shared" si="1"/>
        <v>Large Scale Renewable Energy Target</v>
      </c>
      <c r="C31" t="s">
        <v>63</v>
      </c>
      <c r="D31" s="107">
        <f ca="1">IF(LEFT($A$22,5)="blank",0,VLOOKUP($B$2,'Input General'!$A221:$H226,COLUMN(D16),FALSE)*'Input Global'!D19)</f>
        <v>1288</v>
      </c>
      <c r="E31" s="107">
        <f ca="1">IF(LEFT($A$22,5)="blank",0,VLOOKUP($B$2,'Input General'!$A221:$H226,COLUMN(E16),FALSE)*'Input Global'!E19)</f>
        <v>1901.3749999999995</v>
      </c>
      <c r="F31" s="107">
        <f ca="1">IF(LEFT($A$22,5)="blank",0,VLOOKUP($B$2,'Input General'!$A221:$H226,COLUMN(F16),FALSE)*'Input Global'!F19)</f>
        <v>3185.7</v>
      </c>
      <c r="G31" s="107">
        <f ca="1">IF(LEFT($A$22,5)="blank",0,VLOOKUP($B$2,'Input General'!$A221:$H226,COLUMN(G16),FALSE)*'Input Global'!G19)</f>
        <v>3413.6577873024503</v>
      </c>
      <c r="H31" s="107">
        <f ca="1">IF(LEFT($A$22,5)="blank",0,VLOOKUP($B$2,'Input General'!$A221:$H226,COLUMN(H16),FALSE)*'Input Global'!H19)</f>
        <v>3614.9147726056572</v>
      </c>
      <c r="I31" s="10"/>
    </row>
    <row r="32" spans="1:9" x14ac:dyDescent="0.3">
      <c r="A32" s="11" t="str">
        <f t="shared" si="1"/>
        <v>Small Scale Renewable Energy Scheme</v>
      </c>
      <c r="C32" t="s">
        <v>63</v>
      </c>
      <c r="D32" s="107">
        <f ca="1">IF(LEFT($A$22,5)="blank",0,'Input General'!D95*'Input Global'!D$19)</f>
        <v>0</v>
      </c>
      <c r="E32" s="107">
        <f ca="1">IF(LEFT($A$22,5)="blank",0,'Input General'!E95*'Input Global'!E$19)</f>
        <v>4412.625</v>
      </c>
      <c r="F32" s="107">
        <f ca="1">IF(LEFT($A$22,5)="blank",0,'Input General'!F95*'Input Global'!F$19)</f>
        <v>4025.1750000000002</v>
      </c>
      <c r="G32" s="107">
        <f ca="1">IF(LEFT($A$22,5)="blank",0,'Input General'!G95*'Input Global'!G$19)</f>
        <v>1771.5817241379309</v>
      </c>
      <c r="H32" s="107">
        <f ca="1">IF(LEFT($A$22,5)="blank",0,'Input General'!H95*'Input Global'!H$19)</f>
        <v>1539.4086206896557</v>
      </c>
      <c r="I32" s="10"/>
    </row>
    <row r="33" spans="1:9" x14ac:dyDescent="0.3">
      <c r="A33" s="11" t="str">
        <f t="shared" si="1"/>
        <v>Energy savings</v>
      </c>
      <c r="C33" t="s">
        <v>63</v>
      </c>
      <c r="D33" s="107">
        <f ca="1">IF(LEFT($A$22,5)="blank",0,VLOOKUP($B$2,'Input General'!$A$109:$H$113,COLUMN(D33),FALSE)*'Input Global'!D$19)</f>
        <v>503.99999999999994</v>
      </c>
      <c r="E33" s="107">
        <f ca="1">IF(LEFT($A$22,5)="blank",0,VLOOKUP($B$2,'Input General'!$A$109:$H$113,COLUMN(E33),FALSE)*'Input Global'!E$19)</f>
        <v>782.07500000000005</v>
      </c>
      <c r="F33" s="107">
        <f ca="1">IF(LEFT($A$22,5)="blank",0,VLOOKUP($B$2,'Input General'!$A$109:$H$113,COLUMN(F33),FALSE)*'Input Global'!F$19)</f>
        <v>1083.425</v>
      </c>
      <c r="G33" s="107">
        <f ca="1">IF(LEFT($A$22,5)="blank",0,VLOOKUP($B$2,'Input General'!$A$109:$H$113,COLUMN(G33),FALSE)*'Input Global'!G$19)</f>
        <v>0</v>
      </c>
      <c r="H33" s="107">
        <f ca="1">IF(LEFT($A$22,5)="blank",0,VLOOKUP($B$2,'Input General'!$A$109:$H$113,COLUMN(H33),FALSE)*'Input Global'!H$19)</f>
        <v>0</v>
      </c>
      <c r="I33" s="10"/>
    </row>
    <row r="34" spans="1:9" x14ac:dyDescent="0.3">
      <c r="A34" s="11" t="str">
        <f t="shared" si="1"/>
        <v>Blank</v>
      </c>
      <c r="C34" t="s">
        <v>63</v>
      </c>
      <c r="D34" s="107">
        <f ca="1">IF(LEFT($A$22,5)="blank",0,VLOOKUP($B$2,'Input General'!$A$129:$H$133,COLUMN(D34),FALSE)*'Input Global'!D$19)</f>
        <v>0</v>
      </c>
      <c r="E34" s="107">
        <f ca="1">IF(LEFT($A$22,5)="blank",0,VLOOKUP($B$2,'Input General'!$A$129:$H$133,COLUMN(E34),FALSE)*'Input Global'!E$19)</f>
        <v>0</v>
      </c>
      <c r="F34" s="107">
        <f ca="1">IF(LEFT($A$22,5)="blank",0,VLOOKUP($B$2,'Input General'!$A$129:$H$133,COLUMN(F34),FALSE)*'Input Global'!F$19)</f>
        <v>0</v>
      </c>
      <c r="G34" s="107">
        <f ca="1">IF(LEFT($A$22,5)="blank",0,VLOOKUP($B$2,'Input General'!$A$129:$H$133,COLUMN(G34),FALSE)*'Input Global'!G$19)</f>
        <v>0</v>
      </c>
      <c r="H34" s="107">
        <f ca="1">IF(LEFT($A$22,5)="blank",0,VLOOKUP($B$2,'Input General'!$A$129:$H$133,COLUMN(H34),FALSE)*'Input Global'!H$19)</f>
        <v>0</v>
      </c>
      <c r="I34" s="10"/>
    </row>
    <row r="35" spans="1:9" x14ac:dyDescent="0.3">
      <c r="A35" s="12" t="s">
        <v>61</v>
      </c>
      <c r="B35" s="12"/>
      <c r="C35" s="12" t="s">
        <v>63</v>
      </c>
      <c r="D35" s="107">
        <f ca="1">SUM(D23:D34)</f>
        <v>176626.84874883754</v>
      </c>
      <c r="E35" s="107">
        <f t="shared" ref="E35:H35" ca="1" si="2">SUM(E23:E34)</f>
        <v>206280.18977</v>
      </c>
      <c r="F35" s="107">
        <f t="shared" ca="1" si="2"/>
        <v>251021.2296294077</v>
      </c>
      <c r="G35" s="107">
        <f t="shared" ca="1" si="2"/>
        <v>243257.08231731819</v>
      </c>
      <c r="H35" s="107">
        <f t="shared" ca="1" si="2"/>
        <v>246912.35012894234</v>
      </c>
    </row>
    <row r="37" spans="1:9" x14ac:dyDescent="0.3">
      <c r="A37" s="8" t="str">
        <f>Dist3</f>
        <v>Endeavour</v>
      </c>
    </row>
    <row r="38" spans="1:9" x14ac:dyDescent="0.3">
      <c r="A38" t="str">
        <f>A23</f>
        <v>Wholesale</v>
      </c>
      <c r="C38" t="s">
        <v>63</v>
      </c>
      <c r="D38" s="107">
        <f ca="1">IF(LEFT($A$37,5)="blank",0,VLOOKUP($B$2,dist3wholesale,COLUMN(D38),FALSE)*'Input Global'!D20)</f>
        <v>54537</v>
      </c>
      <c r="E38" s="107">
        <f ca="1">IF(LEFT($A$37,5)="blank",0,VLOOKUP($B$2,dist3wholesale,COLUMN(E38),FALSE)*'Input Global'!E20)</f>
        <v>54831</v>
      </c>
      <c r="F38" s="107">
        <f ca="1">IF(LEFT($A$37,5)="blank",0,VLOOKUP($B$2,dist3wholesale,COLUMN(F38),FALSE)*'Input Global'!F20)</f>
        <v>55885.2</v>
      </c>
      <c r="G38" s="107">
        <f ca="1">IF(LEFT($A$37,5)="blank",0,VLOOKUP($B$2,dist3wholesale,COLUMN(G38),FALSE)*'Input Global'!G20)</f>
        <v>51157.052012124586</v>
      </c>
      <c r="H38" s="107">
        <f ca="1">IF(LEFT($A$37,5)="blank",0,VLOOKUP($B$2,dist3wholesale,COLUMN(H38),FALSE)*'Input Global'!H20)</f>
        <v>50676.906494446033</v>
      </c>
    </row>
    <row r="39" spans="1:9" x14ac:dyDescent="0.3">
      <c r="A39" t="str">
        <f t="shared" ref="A39:A49" si="3">A24</f>
        <v>Transmission</v>
      </c>
      <c r="C39" t="s">
        <v>63</v>
      </c>
      <c r="D39" s="107">
        <f>IF(LEFT($A$37,5)="blank",0,'Input General'!D20+(SUMPRODUCT('Input General'!D21:D24,'Input General'!D83:D86)*'Input Global'!D$20))</f>
        <v>8745.7830217251831</v>
      </c>
      <c r="E39" s="107">
        <f>IF(LEFT($A$37,5)="blank",0,'Input General'!E20+(SUMPRODUCT('Input General'!E21:E24,'Input General'!E83:E86)*'Input Global'!E$20))</f>
        <v>8809.520747888615</v>
      </c>
      <c r="F39" s="107">
        <f>IF(LEFT($A$37,5)="blank",0,'Input General'!F20+(SUMPRODUCT('Input General'!F21:F24,'Input General'!F83:F86)*'Input Global'!F$20))</f>
        <v>9954.4943532067391</v>
      </c>
      <c r="G39" s="107">
        <f>IF(LEFT($A$37,5)="blank",0,'Input General'!G20+(SUMPRODUCT('Input General'!G21:G24,'Input General'!G83:G86)*'Input Global'!G$20))</f>
        <v>10647.989153737328</v>
      </c>
      <c r="H39" s="107">
        <f>IF(LEFT($A$37,5)="blank",0,'Input General'!H20+(SUMPRODUCT('Input General'!H21:H24,'Input General'!H83:H86)*'Input Global'!H$20))</f>
        <v>11389.797311159626</v>
      </c>
    </row>
    <row r="40" spans="1:9" x14ac:dyDescent="0.3">
      <c r="A40" t="str">
        <f t="shared" si="3"/>
        <v>Distribution</v>
      </c>
      <c r="C40" t="s">
        <v>63</v>
      </c>
      <c r="D40" s="107">
        <f>IF(LEFT($A$37,5)="blank",0,'Input General'!D40+SUMPRODUCT('Input General'!D41:D44,'Input General'!D83:D86)*'Input Global'!D$20+'Input General'!D49)</f>
        <v>67530.028345028171</v>
      </c>
      <c r="E40" s="107">
        <f>IF(LEFT($A$37,5)="blank",0,'Input General'!E40+SUMPRODUCT('Input General'!E41:E44,'Input General'!E83:E86)*'Input Global'!E$20+'Input General'!E49)</f>
        <v>78929.222741037331</v>
      </c>
      <c r="F40" s="107">
        <f>IF(LEFT($A$37,5)="blank",0,'Input General'!F40+SUMPRODUCT('Input General'!F41:F44,'Input General'!F83:F86)*'Input Global'!F$20+'Input General'!F49)</f>
        <v>56892.195610554503</v>
      </c>
      <c r="G40" s="107">
        <f>IF(LEFT($A$37,5)="blank",0,'Input General'!G40+SUMPRODUCT('Input General'!G41:G44,'Input General'!G83:G86)*'Input Global'!G$20+'Input General'!G49)</f>
        <v>51078.609472204276</v>
      </c>
      <c r="H40" s="107">
        <f>IF(LEFT($A$37,5)="blank",0,'Input General'!H40+SUMPRODUCT('Input General'!H41:H44,'Input General'!H83:H86)*'Input Global'!H$20+'Input General'!H49)</f>
        <v>53202.805149009386</v>
      </c>
    </row>
    <row r="41" spans="1:9" x14ac:dyDescent="0.3">
      <c r="A41" t="str">
        <f t="shared" si="3"/>
        <v>Retail</v>
      </c>
      <c r="C41" t="s">
        <v>63</v>
      </c>
      <c r="D41" s="107">
        <f>IF(LEFT($A$37,5)="blank",0,'Input General'!D98*'Input Global'!D$20)</f>
        <v>7980.0000000000009</v>
      </c>
      <c r="E41" s="107">
        <f>IF(LEFT($A$37,5)="blank",0,'Input General'!E98*'Input Global'!E$20)</f>
        <v>9240</v>
      </c>
      <c r="F41" s="107">
        <f>IF(LEFT($A$37,5)="blank",0,'Input General'!F98*'Input Global'!F$20)</f>
        <v>9686.2499999999982</v>
      </c>
      <c r="G41" s="107">
        <f>IF(LEFT($A$37,5)="blank",0,'Input General'!G98*'Input Global'!G$20)</f>
        <v>9928.4062499999964</v>
      </c>
      <c r="H41" s="107">
        <f>IF(LEFT($A$37,5)="blank",0,'Input General'!H98*'Input Global'!H$20)</f>
        <v>10176.616406249996</v>
      </c>
    </row>
    <row r="42" spans="1:9" x14ac:dyDescent="0.3">
      <c r="A42" t="str">
        <f t="shared" si="3"/>
        <v>Retail and Residual</v>
      </c>
      <c r="C42" t="s">
        <v>63</v>
      </c>
      <c r="D42" s="107">
        <f ca="1">IF(LEFT($A$37,5)="blank",0,VLOOKUP($B$2,'Input General'!$A$155:$H$159,COLUMN(D27),FALSE)*'Input Global'!D$35)</f>
        <v>7677.6882138046822</v>
      </c>
      <c r="E42" s="107">
        <f ca="1">IF(LEFT($A$37,5)="blank",0,VLOOKUP($B$2,'Input General'!$A$155:$H$159,COLUMN(E27),FALSE)*'Input Global'!E$35)</f>
        <v>8664.5364347825889</v>
      </c>
      <c r="F42" s="107">
        <f ca="1">IF(LEFT($A$37,5)="blank",0,VLOOKUP($B$2,'Input General'!$A$155:$H$159,COLUMN(F27),FALSE)*'Input Global'!F$35)</f>
        <v>9839.6715580431064</v>
      </c>
      <c r="G42" s="107">
        <f ca="1">IF(LEFT($A$37,5)="blank",0,VLOOKUP($B$2,'Input General'!$A$155:$H$159,COLUMN(G27),FALSE)*'Input Global'!G$35)</f>
        <v>9632.6090341427789</v>
      </c>
      <c r="H42" s="107">
        <f ca="1">IF(LEFT($A$37,5)="blank",0,VLOOKUP($B$2,'Input General'!$A$155:$H$159,COLUMN(H27),FALSE)*'Input Global'!H$35)</f>
        <v>9719.5461057748053</v>
      </c>
    </row>
    <row r="43" spans="1:9" x14ac:dyDescent="0.3">
      <c r="A43" t="str">
        <f t="shared" si="3"/>
        <v>Green Schemes</v>
      </c>
      <c r="D43" s="103"/>
      <c r="E43" s="103"/>
      <c r="F43" s="103"/>
      <c r="G43" s="103"/>
      <c r="H43" s="103"/>
    </row>
    <row r="44" spans="1:9" x14ac:dyDescent="0.3">
      <c r="A44" s="11" t="str">
        <f t="shared" si="3"/>
        <v>Feed-in Tariffs</v>
      </c>
      <c r="C44" t="s">
        <v>63</v>
      </c>
      <c r="D44" s="107">
        <f>IF(LEFT($A$37,5)="blank",0,'Input General'!D65+SUMPRODUCT('Input General'!D66:D69,'Input General'!D83:D86)*'Input Global'!D$20)</f>
        <v>1594.6</v>
      </c>
      <c r="E44" s="107">
        <f>IF(LEFT($A$37,5)="blank",0,'Input General'!E65+SUMPRODUCT('Input General'!E66:E69,'Input General'!E83:E86)*'Input Global'!E$20)</f>
        <v>1605.9599329738458</v>
      </c>
      <c r="F44" s="107">
        <f>IF(LEFT($A$37,5)="blank",0,'Input General'!F65+SUMPRODUCT('Input General'!F66:F69,'Input General'!F83:F86)*'Input Global'!F$20)</f>
        <v>27453.999999999996</v>
      </c>
      <c r="G44" s="107">
        <f>IF(LEFT($A$37,5)="blank",0,'Input General'!G65+SUMPRODUCT('Input General'!G66:G69,'Input General'!G83:G86)*'Input Global'!G$20)</f>
        <v>33889.217599999989</v>
      </c>
      <c r="H44" s="107">
        <f>IF(LEFT($A$37,5)="blank",0,'Input General'!H65+SUMPRODUCT('Input General'!H66:H69,'Input General'!H83:H86)*'Input Global'!H$20)</f>
        <v>33889.217599999989</v>
      </c>
    </row>
    <row r="45" spans="1:9" x14ac:dyDescent="0.3">
      <c r="A45" s="11" t="str">
        <f t="shared" si="3"/>
        <v>Carbon costs</v>
      </c>
      <c r="C45" t="s">
        <v>63</v>
      </c>
      <c r="D45" s="107">
        <f ca="1">IF(LEFT($A$37,5)="blank",0,VLOOKUP($B$2,'Input General'!$A$188:$H$192,COLUMN('Input General'!D188),FALSE)*'Input Global'!D$20)</f>
        <v>0</v>
      </c>
      <c r="E45" s="107">
        <f ca="1">IF(LEFT($A$37,5)="blank",0,VLOOKUP($B$2,'Input General'!$A$188:$H$192,COLUMN('Input General'!E188),FALSE)*'Input Global'!E$20)</f>
        <v>0</v>
      </c>
      <c r="F45" s="107">
        <f ca="1">IF(LEFT($A$37,5)="blank",0,VLOOKUP($B$2,'Input General'!$A$188:$H$192,COLUMN('Input General'!F188),FALSE)*'Input Global'!F$20)</f>
        <v>14097.999999999998</v>
      </c>
      <c r="G45" s="107">
        <f ca="1">IF(LEFT($A$37,5)="blank",0,VLOOKUP($B$2,'Input General'!$A$188:$H$192,COLUMN('Input General'!G188),FALSE)*'Input Global'!G$20)</f>
        <v>16508.688000071463</v>
      </c>
      <c r="H45" s="107">
        <f ca="1">IF(LEFT($A$37,5)="blank",0,VLOOKUP($B$2,'Input General'!$A$188:$H$192,COLUMN('Input General'!H188),FALSE)*'Input Global'!H$20)</f>
        <v>15510.997237418875</v>
      </c>
    </row>
    <row r="46" spans="1:9" x14ac:dyDescent="0.3">
      <c r="A46" s="11" t="str">
        <f t="shared" si="3"/>
        <v>Large Scale Renewable Energy Target</v>
      </c>
      <c r="C46" t="s">
        <v>63</v>
      </c>
      <c r="D46" s="107">
        <f ca="1">IF(LEFT($A$37,5)="blank",0,VLOOKUP($B$2,'Input General'!$A227:$H232,COLUMN(D16),FALSE)*'Input Global'!D20)</f>
        <v>1288</v>
      </c>
      <c r="E46" s="107">
        <f ca="1">IF(LEFT($A$37,5)="blank",0,VLOOKUP($B$2,'Input General'!$A227:$H232,COLUMN(E16),FALSE)*'Input Global'!E20)</f>
        <v>1894.2</v>
      </c>
      <c r="F46" s="107">
        <f ca="1">IF(LEFT($A$37,5)="blank",0,VLOOKUP($B$2,'Input General'!$A227:$H232,COLUMN(F16),FALSE)*'Input Global'!F20)</f>
        <v>3199</v>
      </c>
      <c r="G46" s="107">
        <f ca="1">IF(LEFT($A$37,5)="blank",0,VLOOKUP($B$2,'Input General'!$A227:$H232,COLUMN(G16),FALSE)*'Input Global'!G20)</f>
        <v>3427.9094897763566</v>
      </c>
      <c r="H46" s="107">
        <f ca="1">IF(LEFT($A$37,5)="blank",0,VLOOKUP($B$2,'Input General'!$A227:$H232,COLUMN(H16),FALSE)*'Input Global'!H20)</f>
        <v>3630.0067041986049</v>
      </c>
    </row>
    <row r="47" spans="1:9" x14ac:dyDescent="0.3">
      <c r="A47" s="11" t="str">
        <f t="shared" si="3"/>
        <v>Small Scale Renewable Energy Scheme</v>
      </c>
      <c r="C47" t="s">
        <v>63</v>
      </c>
      <c r="D47" s="107">
        <f ca="1">IF(LEFT($A$37,5)="blank",0,'Input General'!D99*'Input Global'!D$20)</f>
        <v>0</v>
      </c>
      <c r="E47" s="107">
        <f ca="1">IF(LEFT($A$37,5)="blank",0,'Input General'!E99*'Input Global'!E$20)</f>
        <v>4362.3999999999996</v>
      </c>
      <c r="F47" s="107">
        <f ca="1">IF(LEFT($A$37,5)="blank",0,'Input General'!F99*'Input Global'!F$20)</f>
        <v>3961.9999999999995</v>
      </c>
      <c r="G47" s="107">
        <f ca="1">IF(LEFT($A$37,5)="blank",0,'Input General'!G99*'Input Global'!G$20)</f>
        <v>1743.7768025078367</v>
      </c>
      <c r="H47" s="107">
        <f ca="1">IF(LEFT($A$37,5)="blank",0,'Input General'!H99*'Input Global'!H$20)</f>
        <v>1515.2476489028213</v>
      </c>
    </row>
    <row r="48" spans="1:9" x14ac:dyDescent="0.3">
      <c r="A48" s="11" t="str">
        <f t="shared" si="3"/>
        <v>Energy savings</v>
      </c>
      <c r="C48" t="s">
        <v>63</v>
      </c>
      <c r="D48" s="107">
        <f ca="1">IF(LEFT($A$37,5)="blank",0,VLOOKUP($B$2,'Input General'!$A$115:$H$119,COLUMN(D33),FALSE)*'Input Global'!D$20)</f>
        <v>503.99999999999994</v>
      </c>
      <c r="E48" s="107">
        <f ca="1">IF(LEFT($A$37,5)="blank",0,VLOOKUP($B$2,'Input General'!$A$115:$H$119,COLUMN(E33),FALSE)*'Input Global'!E$20)</f>
        <v>782.07500000000005</v>
      </c>
      <c r="F48" s="107">
        <f ca="1">IF(LEFT($A$37,5)="blank",0,VLOOKUP($B$2,'Input General'!$A$115:$H$119,COLUMN(F33),FALSE)*'Input Global'!F$20)</f>
        <v>1085</v>
      </c>
      <c r="G48" s="107">
        <f ca="1">IF(LEFT($A$37,5)="blank",0,VLOOKUP($B$2,'Input General'!$A$115:$H$119,COLUMN(G33),FALSE)*'Input Global'!G$20)</f>
        <v>0</v>
      </c>
      <c r="H48" s="107">
        <f ca="1">IF(LEFT($A$37,5)="blank",0,VLOOKUP($B$2,'Input General'!$A$115:$H$119,COLUMN(H33),FALSE)*'Input Global'!H$20)</f>
        <v>0</v>
      </c>
    </row>
    <row r="49" spans="1:8" x14ac:dyDescent="0.3">
      <c r="A49" t="str">
        <f t="shared" si="3"/>
        <v>Blank</v>
      </c>
      <c r="C49" t="s">
        <v>63</v>
      </c>
      <c r="D49" s="107">
        <f ca="1">IF(LEFT($A$37,5)="blank",0,VLOOKUP($B$2,'Input General'!$A$135:$H$139,COLUMN(D49),FALSE)*'Input Global'!D$20)</f>
        <v>0</v>
      </c>
      <c r="E49" s="107">
        <f ca="1">IF(LEFT($A$37,5)="blank",0,VLOOKUP($B$2,'Input General'!$A$135:$H$139,COLUMN(E49),FALSE)*'Input Global'!E$20)</f>
        <v>0</v>
      </c>
      <c r="F49" s="107">
        <f ca="1">IF(LEFT($A$37,5)="blank",0,VLOOKUP($B$2,'Input General'!$A$135:$H$139,COLUMN(F49),FALSE)*'Input Global'!F$20)</f>
        <v>0</v>
      </c>
      <c r="G49" s="107">
        <f ca="1">IF(LEFT($A$37,5)="blank",0,VLOOKUP($B$2,'Input General'!$A$135:$H$139,COLUMN(G49),FALSE)*'Input Global'!G$20)</f>
        <v>0</v>
      </c>
      <c r="H49" s="107">
        <f ca="1">IF(LEFT($A$37,5)="blank",0,VLOOKUP($B$2,'Input General'!$A$135:$H$139,COLUMN(H49),FALSE)*'Input Global'!H$20)</f>
        <v>0</v>
      </c>
    </row>
    <row r="50" spans="1:8" x14ac:dyDescent="0.3">
      <c r="A50" s="12" t="s">
        <v>61</v>
      </c>
      <c r="B50" s="12"/>
      <c r="C50" s="12" t="s">
        <v>63</v>
      </c>
      <c r="D50" s="107">
        <f ca="1">SUM(D38:D49)</f>
        <v>149857.09958055805</v>
      </c>
      <c r="E50" s="107">
        <f t="shared" ref="E50:H50" ca="1" si="4">SUM(E38:E49)</f>
        <v>169118.91485668239</v>
      </c>
      <c r="F50" s="107">
        <f t="shared" ca="1" si="4"/>
        <v>192055.81152180434</v>
      </c>
      <c r="G50" s="107">
        <f t="shared" ca="1" si="4"/>
        <v>188014.25781456463</v>
      </c>
      <c r="H50" s="107">
        <f t="shared" ca="1" si="4"/>
        <v>189711.14065716011</v>
      </c>
    </row>
    <row r="51" spans="1:8" hidden="1" x14ac:dyDescent="0.3"/>
    <row r="52" spans="1:8" hidden="1" x14ac:dyDescent="0.3">
      <c r="A52" s="8" t="str">
        <f>Dist4</f>
        <v>blank</v>
      </c>
    </row>
    <row r="53" spans="1:8" hidden="1" x14ac:dyDescent="0.3">
      <c r="A53" t="str">
        <f>A38</f>
        <v>Wholesale</v>
      </c>
      <c r="C53" t="s">
        <v>63</v>
      </c>
      <c r="D53" s="107">
        <f>IF(LEFT($A$52,5)="blank",0,VLOOKUP($B$2,dist4wholesale,COLUMN(D53),FALSE)*'Input Global'!D21)</f>
        <v>0</v>
      </c>
      <c r="E53" s="107">
        <f>IF(LEFT($A$52,5)="blank",0,VLOOKUP($B$2,dist4wholesale,COLUMN(E53),FALSE)*'Input Global'!E21)</f>
        <v>0</v>
      </c>
      <c r="F53" s="107">
        <f>IF(LEFT($A$52,5)="blank",0,VLOOKUP($B$2,dist4wholesale,COLUMN(F53),FALSE)*'Input Global'!F21)</f>
        <v>0</v>
      </c>
      <c r="G53" s="107">
        <f>IF(LEFT($A$52,5)="blank",0,VLOOKUP($B$2,dist4wholesale,COLUMN(G53),FALSE)*'Input Global'!G21)</f>
        <v>0</v>
      </c>
      <c r="H53" s="107">
        <f>IF(LEFT($A$52,5)="blank",0,VLOOKUP($B$2,dist4wholesale,COLUMN(H53),FALSE)*'Input Global'!H21)</f>
        <v>0</v>
      </c>
    </row>
    <row r="54" spans="1:8" hidden="1" x14ac:dyDescent="0.3">
      <c r="A54" t="str">
        <f t="shared" ref="A54:A64" si="5">A39</f>
        <v>Transmission</v>
      </c>
      <c r="C54" t="s">
        <v>63</v>
      </c>
      <c r="D54" s="107">
        <f>IF(LEFT($A$52,5)="blank",0,'Input General'!#REF!+(SUMPRODUCT('Input General'!#REF!,'Input General'!#REF!)*'Input Global'!D$21))</f>
        <v>0</v>
      </c>
      <c r="E54" s="107">
        <f>IF(LEFT($A$52,5)="blank",0,'Input General'!#REF!+(SUMPRODUCT('Input General'!#REF!,'Input General'!#REF!)*'Input Global'!E$21))</f>
        <v>0</v>
      </c>
      <c r="F54" s="107">
        <f>IF(LEFT($A$52,5)="blank",0,'Input General'!#REF!+(SUMPRODUCT('Input General'!#REF!,'Input General'!#REF!)*'Input Global'!F$21))</f>
        <v>0</v>
      </c>
      <c r="G54" s="107">
        <f>IF(LEFT($A$52,5)="blank",0,'Input General'!#REF!+(SUMPRODUCT('Input General'!#REF!,'Input General'!#REF!)*'Input Global'!G$21))</f>
        <v>0</v>
      </c>
      <c r="H54" s="107">
        <f>IF(LEFT($A$52,5)="blank",0,'Input General'!#REF!+(SUMPRODUCT('Input General'!#REF!,'Input General'!#REF!)*'Input Global'!H$21))</f>
        <v>0</v>
      </c>
    </row>
    <row r="55" spans="1:8" hidden="1" x14ac:dyDescent="0.3">
      <c r="A55" t="str">
        <f t="shared" si="5"/>
        <v>Distribution</v>
      </c>
      <c r="C55" t="s">
        <v>63</v>
      </c>
      <c r="D55" s="107">
        <f>IF(LEFT($A$52,5)="blank",0,'Input General'!#REF!+SUMPRODUCT('Input General'!#REF!,'Input General'!#REF!)*'Input Global'!D$21+'Input General'!#REF!)</f>
        <v>0</v>
      </c>
      <c r="E55" s="107">
        <f>IF(LEFT($A$52,5)="blank",0,'Input General'!#REF!+SUMPRODUCT('Input General'!#REF!,'Input General'!#REF!)*'Input Global'!E$21+'Input General'!#REF!)</f>
        <v>0</v>
      </c>
      <c r="F55" s="107">
        <f>IF(LEFT($A$52,5)="blank",0,'Input General'!#REF!+SUMPRODUCT('Input General'!#REF!,'Input General'!#REF!)*'Input Global'!F$21+'Input General'!#REF!)</f>
        <v>0</v>
      </c>
      <c r="G55" s="107">
        <f>IF(LEFT($A$52,5)="blank",0,'Input General'!#REF!+SUMPRODUCT('Input General'!#REF!,'Input General'!#REF!)*'Input Global'!G$21+'Input General'!#REF!)</f>
        <v>0</v>
      </c>
      <c r="H55" s="107">
        <f>IF(LEFT($A$52,5)="blank",0,'Input General'!#REF!+SUMPRODUCT('Input General'!#REF!,'Input General'!#REF!)*'Input Global'!H$21+'Input General'!#REF!)</f>
        <v>0</v>
      </c>
    </row>
    <row r="56" spans="1:8" hidden="1" x14ac:dyDescent="0.3">
      <c r="A56" t="str">
        <f t="shared" si="5"/>
        <v>Retail</v>
      </c>
      <c r="C56" t="s">
        <v>63</v>
      </c>
      <c r="D56" s="107">
        <f>IF(LEFT($A$52,5)="blank",0,'Input General'!#REF!*'Input Global'!D$21)</f>
        <v>0</v>
      </c>
      <c r="E56" s="107">
        <f>IF(LEFT($A$52,5)="blank",0,'Input General'!#REF!*'Input Global'!E$21)</f>
        <v>0</v>
      </c>
      <c r="F56" s="107">
        <f>IF(LEFT($A$52,5)="blank",0,'Input General'!#REF!*'Input Global'!F$21)</f>
        <v>0</v>
      </c>
      <c r="G56" s="107">
        <f>IF(LEFT($A$52,5)="blank",0,'Input General'!#REF!*'Input Global'!G$21)</f>
        <v>0</v>
      </c>
      <c r="H56" s="107">
        <f>IF(LEFT($A$52,5)="blank",0,'Input General'!#REF!*'Input Global'!H$21)</f>
        <v>0</v>
      </c>
    </row>
    <row r="57" spans="1:8" hidden="1" x14ac:dyDescent="0.3">
      <c r="A57" t="str">
        <f t="shared" si="5"/>
        <v>Retail and Residual</v>
      </c>
      <c r="C57" t="s">
        <v>63</v>
      </c>
      <c r="D57" s="107">
        <f>IF(LEFT($A$52,5)="blank",0,VLOOKUP($B$2,'Input General'!$A$161:$H$165,COLUMN(D57),FALSE)*'Input Global'!D$36)</f>
        <v>0</v>
      </c>
      <c r="E57" s="107">
        <f>IF(LEFT($A$52,5)="blank",0,VLOOKUP($B$2,'Input General'!$A$161:$H$165,COLUMN(E57),FALSE)*'Input Global'!E$36)</f>
        <v>0</v>
      </c>
      <c r="F57" s="107">
        <f>IF(LEFT($A$52,5)="blank",0,VLOOKUP($B$2,'Input General'!$A$161:$H$165,COLUMN(F57),FALSE)*'Input Global'!F$36)</f>
        <v>0</v>
      </c>
      <c r="G57" s="107">
        <f>IF(LEFT($A$52,5)="blank",0,VLOOKUP($B$2,'Input General'!$A$161:$H$165,COLUMN(G57),FALSE)*'Input Global'!G$36)</f>
        <v>0</v>
      </c>
      <c r="H57" s="107">
        <f>IF(LEFT($A$52,5)="blank",0,VLOOKUP($B$2,'Input General'!$A$161:$H$165,COLUMN(H57),FALSE)*'Input Global'!H$36)</f>
        <v>0</v>
      </c>
    </row>
    <row r="58" spans="1:8" hidden="1" x14ac:dyDescent="0.3">
      <c r="A58" t="str">
        <f t="shared" si="5"/>
        <v>Green Schemes</v>
      </c>
      <c r="D58" s="103"/>
      <c r="E58" s="103"/>
      <c r="F58" s="103"/>
      <c r="G58" s="103"/>
      <c r="H58" s="103"/>
    </row>
    <row r="59" spans="1:8" hidden="1" x14ac:dyDescent="0.3">
      <c r="A59" s="11" t="str">
        <f t="shared" si="5"/>
        <v>Feed-in Tariffs</v>
      </c>
      <c r="C59" t="s">
        <v>63</v>
      </c>
      <c r="D59" s="107">
        <f>IF(LEFT($A$52,5)="blank",0,'Input General'!#REF!+SUMPRODUCT('Input General'!#REF!,'Input General'!#REF!)*'Input Global'!D$21)</f>
        <v>0</v>
      </c>
      <c r="E59" s="107">
        <f>IF(LEFT($A$52,5)="blank",0,'Input General'!#REF!+SUMPRODUCT('Input General'!#REF!,'Input General'!#REF!)*'Input Global'!E$21)</f>
        <v>0</v>
      </c>
      <c r="F59" s="107">
        <f>IF(LEFT($A$52,5)="blank",0,'Input General'!#REF!+SUMPRODUCT('Input General'!#REF!,'Input General'!#REF!)*'Input Global'!F$21)</f>
        <v>0</v>
      </c>
      <c r="G59" s="107">
        <f>IF(LEFT($A$52,5)="blank",0,'Input General'!#REF!+SUMPRODUCT('Input General'!#REF!,'Input General'!#REF!)*'Input Global'!G$21)</f>
        <v>0</v>
      </c>
      <c r="H59" s="107">
        <f>IF(LEFT($A$52,5)="blank",0,'Input General'!#REF!+SUMPRODUCT('Input General'!#REF!,'Input General'!#REF!)*'Input Global'!H$21)</f>
        <v>0</v>
      </c>
    </row>
    <row r="60" spans="1:8" hidden="1" x14ac:dyDescent="0.3">
      <c r="A60" s="11" t="str">
        <f t="shared" si="5"/>
        <v>Carbon costs</v>
      </c>
      <c r="C60" t="s">
        <v>63</v>
      </c>
      <c r="D60" s="107">
        <f>IF(LEFT($A$52,5)="blank",0,VLOOKUP($B$2,'Input General'!#REF!,COLUMN(D60),FALSE)*'Input Global'!D$21)</f>
        <v>0</v>
      </c>
      <c r="E60" s="107">
        <f>IF(LEFT($A$52,5)="blank",0,VLOOKUP($B$2,'Input General'!#REF!,COLUMN(E60),FALSE)*'Input Global'!E$21)</f>
        <v>0</v>
      </c>
      <c r="F60" s="107">
        <f>IF(LEFT($A$52,5)="blank",0,VLOOKUP($B$2,'Input General'!#REF!,COLUMN(F60),FALSE)*'Input Global'!F$21)</f>
        <v>0</v>
      </c>
      <c r="G60" s="107">
        <f>IF(LEFT($A$52,5)="blank",0,VLOOKUP($B$2,'Input General'!#REF!,COLUMN(G60),FALSE)*'Input Global'!G$21)</f>
        <v>0</v>
      </c>
      <c r="H60" s="107">
        <f>IF(LEFT($A$52,5)="blank",0,VLOOKUP($B$2,'Input General'!#REF!,COLUMN(H60),FALSE)*'Input Global'!H$21)</f>
        <v>0</v>
      </c>
    </row>
    <row r="61" spans="1:8" hidden="1" x14ac:dyDescent="0.3">
      <c r="A61" s="11" t="str">
        <f t="shared" si="5"/>
        <v>Large Scale Renewable Energy Target</v>
      </c>
      <c r="C61" t="s">
        <v>63</v>
      </c>
      <c r="D61" s="107">
        <f>IF(LEFT($A$52,5)="blank",0,VLOOKUP($B$2,'Input General'!#REF!,COLUMN(D61),FALSE)*'Input Global'!D21)</f>
        <v>0</v>
      </c>
      <c r="E61" s="107">
        <f>IF(LEFT($A$52,5)="blank",0,VLOOKUP($B$2,'Input General'!#REF!,COLUMN(E61),FALSE)*'Input Global'!E21)</f>
        <v>0</v>
      </c>
      <c r="F61" s="107">
        <f>IF(LEFT($A$52,5)="blank",0,VLOOKUP($B$2,'Input General'!#REF!,COLUMN(F61),FALSE)*'Input Global'!F21)</f>
        <v>0</v>
      </c>
      <c r="G61" s="107">
        <f>IF(LEFT($A$52,5)="blank",0,VLOOKUP($B$2,'Input General'!#REF!,COLUMN(G61),FALSE)*'Input Global'!G21)</f>
        <v>0</v>
      </c>
      <c r="H61" s="107">
        <f>IF(LEFT($A$52,5)="blank",0,VLOOKUP($B$2,'Input General'!#REF!,COLUMN(H61),FALSE)*'Input Global'!H21)</f>
        <v>0</v>
      </c>
    </row>
    <row r="62" spans="1:8" hidden="1" x14ac:dyDescent="0.3">
      <c r="A62" s="11" t="str">
        <f t="shared" si="5"/>
        <v>Small Scale Renewable Energy Scheme</v>
      </c>
      <c r="C62" t="s">
        <v>63</v>
      </c>
      <c r="D62" s="107">
        <f>IF(LEFT($A$52,5)="blank",0,'Input General'!#REF!*'Input Global'!D$21)</f>
        <v>0</v>
      </c>
      <c r="E62" s="107">
        <f>IF(LEFT($A$52,5)="blank",0,'Input General'!#REF!*'Input Global'!E$21)</f>
        <v>0</v>
      </c>
      <c r="F62" s="107">
        <f>IF(LEFT($A$52,5)="blank",0,'Input General'!#REF!*'Input Global'!F$21)</f>
        <v>0</v>
      </c>
      <c r="G62" s="107">
        <f>IF(LEFT($A$52,5)="blank",0,'Input General'!#REF!*'Input Global'!G$21)</f>
        <v>0</v>
      </c>
      <c r="H62" s="107">
        <f>IF(LEFT($A$52,5)="blank",0,'Input General'!#REF!*'Input Global'!H$21)</f>
        <v>0</v>
      </c>
    </row>
    <row r="63" spans="1:8" hidden="1" x14ac:dyDescent="0.3">
      <c r="A63" s="11" t="str">
        <f t="shared" si="5"/>
        <v>Energy savings</v>
      </c>
      <c r="C63" t="s">
        <v>63</v>
      </c>
      <c r="D63" s="107">
        <f>IF(LEFT($A$52,5)="blank",0,VLOOKUP($B$2,'Input General'!#REF!,COLUMN(D48),FALSE)*'Input Global'!D$21)</f>
        <v>0</v>
      </c>
      <c r="E63" s="107">
        <f>IF(LEFT($A$52,5)="blank",0,VLOOKUP($B$2,'Input General'!#REF!,COLUMN(E48),FALSE)*'Input Global'!E$21)</f>
        <v>0</v>
      </c>
      <c r="F63" s="107">
        <f>IF(LEFT($A$52,5)="blank",0,VLOOKUP($B$2,'Input General'!#REF!,COLUMN(F48),FALSE)*'Input Global'!F$21)</f>
        <v>0</v>
      </c>
      <c r="G63" s="107">
        <f>IF(LEFT($A$52,5)="blank",0,VLOOKUP($B$2,'Input General'!#REF!,COLUMN(G48),FALSE)*'Input Global'!G$21)</f>
        <v>0</v>
      </c>
      <c r="H63" s="107">
        <f>IF(LEFT($A$52,5)="blank",0,VLOOKUP($B$2,'Input General'!#REF!,COLUMN(H48),FALSE)*'Input Global'!H$21)</f>
        <v>0</v>
      </c>
    </row>
    <row r="64" spans="1:8" hidden="1" x14ac:dyDescent="0.3">
      <c r="A64" s="11" t="str">
        <f t="shared" si="5"/>
        <v>Blank</v>
      </c>
      <c r="C64" t="s">
        <v>63</v>
      </c>
      <c r="D64" s="107">
        <f>IF(LEFT($A$52,5)="blank",0,VLOOKUP($B$2,'Input General'!#REF!,COLUMN(D64),FALSE)*'Input Global'!D$21)</f>
        <v>0</v>
      </c>
      <c r="E64" s="107">
        <f>IF(LEFT($A$52,5)="blank",0,VLOOKUP($B$2,'Input General'!#REF!,COLUMN(E64),FALSE)*'Input Global'!E$21)</f>
        <v>0</v>
      </c>
      <c r="F64" s="107">
        <f>IF(LEFT($A$52,5)="blank",0,VLOOKUP($B$2,'Input General'!#REF!,COLUMN(F64),FALSE)*'Input Global'!F$21)</f>
        <v>0</v>
      </c>
      <c r="G64" s="107">
        <f>IF(LEFT($A$52,5)="blank",0,VLOOKUP($B$2,'Input General'!#REF!,COLUMN(G64),FALSE)*'Input Global'!G$21)</f>
        <v>0</v>
      </c>
      <c r="H64" s="107">
        <f>IF(LEFT($A$52,5)="blank",0,VLOOKUP($B$2,'Input General'!#REF!,COLUMN(H64),FALSE)*'Input Global'!H$21)</f>
        <v>0</v>
      </c>
    </row>
    <row r="65" spans="1:8" hidden="1" x14ac:dyDescent="0.3">
      <c r="A65" s="12" t="s">
        <v>61</v>
      </c>
      <c r="B65" s="12"/>
      <c r="C65" s="12" t="s">
        <v>63</v>
      </c>
      <c r="D65" s="107">
        <f>SUM(D53:D64)</f>
        <v>0</v>
      </c>
      <c r="E65" s="107">
        <f t="shared" ref="E65:H65" si="6">SUM(E53:E64)</f>
        <v>0</v>
      </c>
      <c r="F65" s="107">
        <f t="shared" si="6"/>
        <v>0</v>
      </c>
      <c r="G65" s="107">
        <f t="shared" si="6"/>
        <v>0</v>
      </c>
      <c r="H65" s="107">
        <f t="shared" si="6"/>
        <v>0</v>
      </c>
    </row>
    <row r="66" spans="1:8" hidden="1" x14ac:dyDescent="0.3">
      <c r="D66" s="102"/>
      <c r="E66" s="102"/>
      <c r="F66" s="102"/>
      <c r="G66" s="102"/>
      <c r="H66" s="102"/>
    </row>
    <row r="67" spans="1:8" hidden="1" x14ac:dyDescent="0.3">
      <c r="A67" s="8" t="str">
        <f>Dist5</f>
        <v>blank</v>
      </c>
    </row>
    <row r="68" spans="1:8" hidden="1" x14ac:dyDescent="0.3">
      <c r="A68" t="str">
        <f>A53</f>
        <v>Wholesale</v>
      </c>
      <c r="C68" t="s">
        <v>63</v>
      </c>
      <c r="D68" s="107">
        <f>IF(LEFT($A$67,5)="blank",0,VLOOKUP($B$2,dist5wholesale,COLUMN(D68),FALSE)*'Input Global'!D22)</f>
        <v>0</v>
      </c>
      <c r="E68" s="107">
        <f>IF(LEFT($A$67,5)="blank",0,VLOOKUP($B$2,dist5wholesale,COLUMN(E68),FALSE)*'Input Global'!E22)</f>
        <v>0</v>
      </c>
      <c r="F68" s="107">
        <f>IF(LEFT($A$67,5)="blank",0,VLOOKUP($B$2,dist5wholesale,COLUMN(F68),FALSE)*'Input Global'!F22)</f>
        <v>0</v>
      </c>
      <c r="G68" s="107">
        <f>IF(LEFT($A$67,5)="blank",0,VLOOKUP($B$2,dist5wholesale,COLUMN(G68),FALSE)*'Input Global'!G22)</f>
        <v>0</v>
      </c>
      <c r="H68" s="107">
        <f>IF(LEFT($A$67,5)="blank",0,VLOOKUP($B$2,dist5wholesale,COLUMN(H68),FALSE)*'Input Global'!H22)</f>
        <v>0</v>
      </c>
    </row>
    <row r="69" spans="1:8" hidden="1" x14ac:dyDescent="0.3">
      <c r="A69" t="str">
        <f t="shared" ref="A69:A79" si="7">A54</f>
        <v>Transmission</v>
      </c>
      <c r="C69" t="s">
        <v>63</v>
      </c>
      <c r="D69" s="107">
        <f>IF(LEFT($A$67,5)="blank",0,'Input General'!#REF!+(SUMPRODUCT('Input General'!#REF!,'Input General'!#REF!)*'Input Global'!D$22))</f>
        <v>0</v>
      </c>
      <c r="E69" s="107">
        <f>IF(LEFT($A$67,5)="blank",0,'Input General'!#REF!+(SUMPRODUCT('Input General'!#REF!,'Input General'!#REF!)*'Input Global'!E$22))</f>
        <v>0</v>
      </c>
      <c r="F69" s="107">
        <f>IF(LEFT($A$67,5)="blank",0,'Input General'!#REF!+(SUMPRODUCT('Input General'!#REF!,'Input General'!#REF!)*'Input Global'!F$22))</f>
        <v>0</v>
      </c>
      <c r="G69" s="107">
        <f>IF(LEFT($A$67,5)="blank",0,'Input General'!#REF!+(SUMPRODUCT('Input General'!#REF!,'Input General'!#REF!)*'Input Global'!G$22))</f>
        <v>0</v>
      </c>
      <c r="H69" s="107">
        <f>IF(LEFT($A$67,5)="blank",0,'Input General'!#REF!+(SUMPRODUCT('Input General'!#REF!,'Input General'!#REF!)*'Input Global'!H$22))</f>
        <v>0</v>
      </c>
    </row>
    <row r="70" spans="1:8" hidden="1" x14ac:dyDescent="0.3">
      <c r="A70" t="str">
        <f t="shared" si="7"/>
        <v>Distribution</v>
      </c>
      <c r="C70" t="s">
        <v>63</v>
      </c>
      <c r="D70" s="107">
        <f>IF(LEFT($A$67,5)="blank",0,'Input General'!#REF!+SUMPRODUCT('Input General'!#REF!,'Input General'!#REF!)*'Input Global'!D$22+'Input General'!#REF!)</f>
        <v>0</v>
      </c>
      <c r="E70" s="107">
        <f>IF(LEFT($A$67,5)="blank",0,'Input General'!#REF!+SUMPRODUCT('Input General'!#REF!,'Input General'!#REF!)*'Input Global'!E$22+'Input General'!#REF!)</f>
        <v>0</v>
      </c>
      <c r="F70" s="107">
        <f>IF(LEFT($A$67,5)="blank",0,'Input General'!#REF!+SUMPRODUCT('Input General'!#REF!,'Input General'!#REF!)*'Input Global'!F$22+'Input General'!#REF!)</f>
        <v>0</v>
      </c>
      <c r="G70" s="107">
        <f>IF(LEFT($A$67,5)="blank",0,'Input General'!#REF!+SUMPRODUCT('Input General'!#REF!,'Input General'!#REF!)*'Input Global'!G$22+'Input General'!#REF!)</f>
        <v>0</v>
      </c>
      <c r="H70" s="107">
        <f>IF(LEFT($A$67,5)="blank",0,'Input General'!#REF!+SUMPRODUCT('Input General'!#REF!,'Input General'!#REF!)*'Input Global'!H$22+'Input General'!#REF!)</f>
        <v>0</v>
      </c>
    </row>
    <row r="71" spans="1:8" hidden="1" x14ac:dyDescent="0.3">
      <c r="A71" t="str">
        <f t="shared" si="7"/>
        <v>Retail</v>
      </c>
      <c r="C71" t="s">
        <v>63</v>
      </c>
      <c r="D71" s="107">
        <f>IF(LEFT($A$67,5)="blank",0,'Input General'!#REF!*'Input Global'!D$22)</f>
        <v>0</v>
      </c>
      <c r="E71" s="107">
        <f>IF(LEFT($A$67,5)="blank",0,'Input General'!#REF!*'Input Global'!E$22)</f>
        <v>0</v>
      </c>
      <c r="F71" s="107">
        <f>IF(LEFT($A$67,5)="blank",0,'Input General'!#REF!*'Input Global'!F$22)</f>
        <v>0</v>
      </c>
      <c r="G71" s="107">
        <f>IF(LEFT($A$67,5)="blank",0,'Input General'!#REF!*'Input Global'!G$22)</f>
        <v>0</v>
      </c>
      <c r="H71" s="107">
        <f>IF(LEFT($A$67,5)="blank",0,'Input General'!#REF!*'Input Global'!H$22)</f>
        <v>0</v>
      </c>
    </row>
    <row r="72" spans="1:8" hidden="1" x14ac:dyDescent="0.3">
      <c r="A72" t="str">
        <f t="shared" si="7"/>
        <v>Retail and Residual</v>
      </c>
      <c r="C72" t="s">
        <v>63</v>
      </c>
      <c r="D72" s="107">
        <f>IF(LEFT($A$67,5)="blank",0,VLOOKUP($B$2,'Input General'!$A$167:$H$171,COLUMN(D72),FALSE)*'Input Global'!D$37)</f>
        <v>0</v>
      </c>
      <c r="E72" s="107">
        <f>IF(LEFT($A$67,5)="blank",0,VLOOKUP($B$2,'Input General'!$A$167:$H$171,COLUMN(E72),FALSE)*'Input Global'!E$37)</f>
        <v>0</v>
      </c>
      <c r="F72" s="107">
        <f>IF(LEFT($A$67,5)="blank",0,VLOOKUP($B$2,'Input General'!$A$167:$H$171,COLUMN(F72),FALSE)*'Input Global'!F$37)</f>
        <v>0</v>
      </c>
      <c r="G72" s="107">
        <f>IF(LEFT($A$67,5)="blank",0,VLOOKUP($B$2,'Input General'!$A$167:$H$171,COLUMN(G72),FALSE)*'Input Global'!G$37)</f>
        <v>0</v>
      </c>
      <c r="H72" s="107">
        <f>IF(LEFT($A$67,5)="blank",0,VLOOKUP($B$2,'Input General'!$A$167:$H$171,COLUMN(H72),FALSE)*'Input Global'!H$37)</f>
        <v>0</v>
      </c>
    </row>
    <row r="73" spans="1:8" hidden="1" x14ac:dyDescent="0.3">
      <c r="A73" t="str">
        <f t="shared" si="7"/>
        <v>Green Schemes</v>
      </c>
      <c r="D73" s="103"/>
      <c r="E73" s="103"/>
      <c r="F73" s="103"/>
      <c r="G73" s="103"/>
      <c r="H73" s="103"/>
    </row>
    <row r="74" spans="1:8" hidden="1" x14ac:dyDescent="0.3">
      <c r="A74" s="11" t="str">
        <f t="shared" si="7"/>
        <v>Feed-in Tariffs</v>
      </c>
      <c r="C74" t="s">
        <v>63</v>
      </c>
      <c r="D74" s="107">
        <f>IF(LEFT($A$67,5)="blank",0,'Input General'!#REF!+SUMPRODUCT('Input General'!#REF!,'Input General'!#REF!)*'Input Global'!D$22)</f>
        <v>0</v>
      </c>
      <c r="E74" s="107">
        <f>IF(LEFT($A$67,5)="blank",0,'Input General'!#REF!+SUMPRODUCT('Input General'!#REF!,'Input General'!#REF!)*'Input Global'!E$22)</f>
        <v>0</v>
      </c>
      <c r="F74" s="107">
        <f>IF(LEFT($A$67,5)="blank",0,'Input General'!#REF!+SUMPRODUCT('Input General'!#REF!,'Input General'!#REF!)*'Input Global'!F$22)</f>
        <v>0</v>
      </c>
      <c r="G74" s="107">
        <f>IF(LEFT($A$67,5)="blank",0,'Input General'!#REF!+SUMPRODUCT('Input General'!#REF!,'Input General'!#REF!)*'Input Global'!G$22)</f>
        <v>0</v>
      </c>
      <c r="H74" s="107">
        <f>IF(LEFT($A$67,5)="blank",0,'Input General'!#REF!+SUMPRODUCT('Input General'!#REF!,'Input General'!#REF!)*'Input Global'!H$22)</f>
        <v>0</v>
      </c>
    </row>
    <row r="75" spans="1:8" hidden="1" x14ac:dyDescent="0.3">
      <c r="A75" s="11" t="str">
        <f t="shared" si="7"/>
        <v>Carbon costs</v>
      </c>
      <c r="C75" t="s">
        <v>63</v>
      </c>
      <c r="D75" s="107">
        <f>IF(LEFT($A$67,5)="blank",0,VLOOKUP($B$2,'Input General'!#REF!,COLUMN(D75),FALSE)*'Input Global'!D$22)</f>
        <v>0</v>
      </c>
      <c r="E75" s="107">
        <f>IF(LEFT($A$67,5)="blank",0,VLOOKUP($B$2,'Input General'!#REF!,COLUMN(E75),FALSE)*'Input Global'!E$22)</f>
        <v>0</v>
      </c>
      <c r="F75" s="107">
        <f>IF(LEFT($A$67,5)="blank",0,VLOOKUP($B$2,'Input General'!#REF!,COLUMN(F75),FALSE)*'Input Global'!F$22)</f>
        <v>0</v>
      </c>
      <c r="G75" s="107">
        <f>IF(LEFT($A$67,5)="blank",0,VLOOKUP($B$2,'Input General'!#REF!,COLUMN(G75),FALSE)*'Input Global'!G$22)</f>
        <v>0</v>
      </c>
      <c r="H75" s="107">
        <f>IF(LEFT($A$67,5)="blank",0,VLOOKUP($B$2,'Input General'!#REF!,COLUMN(H75),FALSE)*'Input Global'!H$22)</f>
        <v>0</v>
      </c>
    </row>
    <row r="76" spans="1:8" hidden="1" x14ac:dyDescent="0.3">
      <c r="A76" s="11" t="str">
        <f t="shared" si="7"/>
        <v>Large Scale Renewable Energy Target</v>
      </c>
      <c r="C76" t="s">
        <v>63</v>
      </c>
      <c r="D76" s="107">
        <f>IF(LEFT($A$67,5)="blank",0,VLOOKUP($B$2,'Input General'!#REF!,COLUMN(D76),FALSE)*'Input Global'!D22)</f>
        <v>0</v>
      </c>
      <c r="E76" s="107">
        <f>IF(LEFT($A$67,5)="blank",0,VLOOKUP($B$2,'Input General'!#REF!,COLUMN(E76),FALSE)*'Input Global'!E22)</f>
        <v>0</v>
      </c>
      <c r="F76" s="107">
        <f>IF(LEFT($A$67,5)="blank",0,VLOOKUP($B$2,'Input General'!#REF!,COLUMN(F76),FALSE)*'Input Global'!F22)</f>
        <v>0</v>
      </c>
      <c r="G76" s="107">
        <f>IF(LEFT($A$67,5)="blank",0,VLOOKUP($B$2,'Input General'!#REF!,COLUMN(G76),FALSE)*'Input Global'!G22)</f>
        <v>0</v>
      </c>
      <c r="H76" s="107">
        <f>IF(LEFT($A$67,5)="blank",0,VLOOKUP($B$2,'Input General'!#REF!,COLUMN(H76),FALSE)*'Input Global'!H22)</f>
        <v>0</v>
      </c>
    </row>
    <row r="77" spans="1:8" hidden="1" x14ac:dyDescent="0.3">
      <c r="A77" s="11" t="str">
        <f t="shared" si="7"/>
        <v>Small Scale Renewable Energy Scheme</v>
      </c>
      <c r="C77" t="s">
        <v>63</v>
      </c>
      <c r="D77" s="107">
        <f>IF(LEFT($A$67,5)="blank",0,'Input General'!#REF!*'Input Global'!D$22)</f>
        <v>0</v>
      </c>
      <c r="E77" s="107">
        <f>IF(LEFT($A$67,5)="blank",0,'Input General'!#REF!*'Input Global'!E$22)</f>
        <v>0</v>
      </c>
      <c r="F77" s="107">
        <f>IF(LEFT($A$67,5)="blank",0,'Input General'!#REF!*'Input Global'!F$22)</f>
        <v>0</v>
      </c>
      <c r="G77" s="107">
        <f>IF(LEFT($A$67,5)="blank",0,'Input General'!#REF!*'Input Global'!G$22)</f>
        <v>0</v>
      </c>
      <c r="H77" s="107">
        <f>IF(LEFT($A$67,5)="blank",0,'Input General'!#REF!*'Input Global'!H$22)</f>
        <v>0</v>
      </c>
    </row>
    <row r="78" spans="1:8" hidden="1" x14ac:dyDescent="0.3">
      <c r="A78" s="11" t="str">
        <f t="shared" si="7"/>
        <v>Energy savings</v>
      </c>
      <c r="C78" t="s">
        <v>63</v>
      </c>
      <c r="D78" s="107">
        <f>IF(LEFT($A$67,5)="blank",0,VLOOKUP($B$2,'Input General'!#REF!,COLUMN(D78),FALSE)*'Input Global'!D$22)</f>
        <v>0</v>
      </c>
      <c r="E78" s="107">
        <f>IF(LEFT($A$67,5)="blank",0,VLOOKUP($B$2,'Input General'!#REF!,COLUMN(E78),FALSE)*'Input Global'!E$22)</f>
        <v>0</v>
      </c>
      <c r="F78" s="107">
        <f>IF(LEFT($A$67,5)="blank",0,VLOOKUP($B$2,'Input General'!#REF!,COLUMN(F78),FALSE)*'Input Global'!F$22)</f>
        <v>0</v>
      </c>
      <c r="G78" s="107">
        <f>IF(LEFT($A$67,5)="blank",0,VLOOKUP($B$2,'Input General'!#REF!,COLUMN(G78),FALSE)*'Input Global'!G$22)</f>
        <v>0</v>
      </c>
      <c r="H78" s="107">
        <f>IF(LEFT($A$67,5)="blank",0,VLOOKUP($B$2,'Input General'!#REF!,COLUMN(H78),FALSE)*'Input Global'!H$22)</f>
        <v>0</v>
      </c>
    </row>
    <row r="79" spans="1:8" hidden="1" x14ac:dyDescent="0.3">
      <c r="A79" s="11" t="str">
        <f t="shared" si="7"/>
        <v>Blank</v>
      </c>
      <c r="C79" t="s">
        <v>63</v>
      </c>
      <c r="D79" s="107">
        <f>IF(LEFT($A$67,5)="blank",0,VLOOKUP($B$2,'Input General'!#REF!,COLUMN(D79),FALSE)*'Input Global'!D$22)</f>
        <v>0</v>
      </c>
      <c r="E79" s="107">
        <f>IF(LEFT($A$67,5)="blank",0,VLOOKUP($B$2,'Input General'!#REF!,COLUMN(E79),FALSE)*'Input Global'!E$22)</f>
        <v>0</v>
      </c>
      <c r="F79" s="107">
        <f>IF(LEFT($A$67,5)="blank",0,VLOOKUP($B$2,'Input General'!#REF!,COLUMN(F79),FALSE)*'Input Global'!F$22)</f>
        <v>0</v>
      </c>
      <c r="G79" s="107">
        <f>IF(LEFT($A$67,5)="blank",0,VLOOKUP($B$2,'Input General'!#REF!,COLUMN(G79),FALSE)*'Input Global'!G$22)</f>
        <v>0</v>
      </c>
      <c r="H79" s="107">
        <f>IF(LEFT($A$67,5)="blank",0,VLOOKUP($B$2,'Input General'!#REF!,COLUMN(H79),FALSE)*'Input Global'!H$22)</f>
        <v>0</v>
      </c>
    </row>
    <row r="80" spans="1:8" hidden="1" x14ac:dyDescent="0.3">
      <c r="A80" s="12" t="s">
        <v>61</v>
      </c>
      <c r="B80" s="12"/>
      <c r="C80" s="12" t="s">
        <v>63</v>
      </c>
      <c r="D80" s="107">
        <f>SUM(D68:D79)</f>
        <v>0</v>
      </c>
      <c r="E80" s="107">
        <f t="shared" ref="E80:H80" si="8">SUM(E68:E79)</f>
        <v>0</v>
      </c>
      <c r="F80" s="107">
        <f t="shared" si="8"/>
        <v>0</v>
      </c>
      <c r="G80" s="107">
        <f t="shared" si="8"/>
        <v>0</v>
      </c>
      <c r="H80" s="107">
        <f t="shared" si="8"/>
        <v>0</v>
      </c>
    </row>
    <row r="81" spans="1:8" x14ac:dyDescent="0.3">
      <c r="D81" s="103"/>
      <c r="E81" s="103"/>
      <c r="F81" s="103"/>
      <c r="G81" s="103"/>
      <c r="H81" s="103"/>
    </row>
    <row r="82" spans="1:8" ht="18.75" x14ac:dyDescent="0.3">
      <c r="A82" s="1" t="s">
        <v>62</v>
      </c>
      <c r="B82" s="1" t="s">
        <v>48</v>
      </c>
      <c r="D82" s="103"/>
      <c r="E82" s="103"/>
      <c r="F82" s="103"/>
      <c r="G82" s="103"/>
      <c r="H82" s="103"/>
    </row>
    <row r="84" spans="1:8" x14ac:dyDescent="0.3">
      <c r="A84" s="8" t="str">
        <f>Dist1</f>
        <v xml:space="preserve">Ausgrid </v>
      </c>
    </row>
    <row r="85" spans="1:8" x14ac:dyDescent="0.3">
      <c r="A85" t="str">
        <f t="shared" ref="A85:A96" si="9">A68</f>
        <v>Wholesale</v>
      </c>
      <c r="C85" t="s">
        <v>17</v>
      </c>
      <c r="D85" s="107">
        <f ca="1">IF(LEFT($A$84,5)="blank",0,D8/'Input Global'!D$18)</f>
        <v>7.44</v>
      </c>
      <c r="E85" s="107">
        <f ca="1">IF(LEFT($A$84,5)="blank",0,E8/'Input Global'!E$18)</f>
        <v>7.3639999999999999</v>
      </c>
      <c r="F85" s="107">
        <f ca="1">IF(LEFT($A$84,5)="blank",0,F8/'Input Global'!F$18)</f>
        <v>7.4432486500000001</v>
      </c>
      <c r="G85" s="107">
        <f ca="1">IF(LEFT($A$84,5)="blank",0,G8/'Input Global'!G$18)</f>
        <v>7.1016094088231627</v>
      </c>
      <c r="H85" s="107">
        <f ca="1">IF(LEFT($A$84,5)="blank",0,H8/'Input Global'!H$18)</f>
        <v>6.8696143157774658</v>
      </c>
    </row>
    <row r="86" spans="1:8" x14ac:dyDescent="0.3">
      <c r="A86" t="str">
        <f t="shared" si="9"/>
        <v>Transmission</v>
      </c>
      <c r="C86" t="s">
        <v>17</v>
      </c>
      <c r="D86" s="107">
        <f>IF(LEFT($A$84,5)="blank",0,D9/'Input Global'!D$18)</f>
        <v>1.9490566651938903</v>
      </c>
      <c r="E86" s="107">
        <f>IF(LEFT($A$84,5)="blank",0,E9/'Input Global'!E$18)</f>
        <v>2.4407873031375846</v>
      </c>
      <c r="F86" s="107">
        <f>IF(LEFT($A$84,5)="blank",0,F9/'Input Global'!F$18)</f>
        <v>4.9359206103405233</v>
      </c>
      <c r="G86" s="107">
        <f>IF(LEFT($A$84,5)="blank",0,G9/'Input Global'!G$18)</f>
        <v>5.2797889332955936</v>
      </c>
      <c r="H86" s="107">
        <f>IF(LEFT($A$84,5)="blank",0,H9/'Input Global'!H$18)</f>
        <v>5.6476133594513964</v>
      </c>
    </row>
    <row r="87" spans="1:8" x14ac:dyDescent="0.3">
      <c r="A87" t="str">
        <f t="shared" si="9"/>
        <v>Distribution</v>
      </c>
      <c r="C87" t="s">
        <v>17</v>
      </c>
      <c r="D87" s="107">
        <f>IF(LEFT($A$84,5)="blank",0,D10/'Input Global'!D$18)</f>
        <v>8.898119164043699</v>
      </c>
      <c r="E87" s="107">
        <f>IF(LEFT($A$84,5)="blank",0,E10/'Input Global'!E$18)</f>
        <v>10.624721457519319</v>
      </c>
      <c r="F87" s="107">
        <f>IF(LEFT($A$84,5)="blank",0,F10/'Input Global'!F$18)</f>
        <v>10.573975353139822</v>
      </c>
      <c r="G87" s="107">
        <f>IF(LEFT($A$84,5)="blank",0,G10/'Input Global'!G$18)</f>
        <v>10.669627526073251</v>
      </c>
      <c r="H87" s="107">
        <f>IF(LEFT($A$84,5)="blank",0,H10/'Input Global'!H$18)</f>
        <v>10.948474345488579</v>
      </c>
    </row>
    <row r="88" spans="1:8" x14ac:dyDescent="0.3">
      <c r="A88" t="str">
        <f t="shared" si="9"/>
        <v>Retail</v>
      </c>
      <c r="C88" t="s">
        <v>17</v>
      </c>
      <c r="D88" s="107">
        <f>IF(LEFT($A$84,5)="blank",0,D11/'Input Global'!D$18)</f>
        <v>1.41</v>
      </c>
      <c r="E88" s="107">
        <f>IF(LEFT($A$84,5)="blank",0,E11/'Input Global'!E$18)</f>
        <v>1.41</v>
      </c>
      <c r="F88" s="107">
        <f>IF(LEFT($A$84,5)="blank",0,F11/'Input Global'!F$18)</f>
        <v>1.476</v>
      </c>
      <c r="G88" s="107">
        <f>IF(LEFT($A$84,5)="blank",0,G11/'Input Global'!G$18)</f>
        <v>1.5128999999999999</v>
      </c>
      <c r="H88" s="107">
        <f>IF(LEFT($A$84,5)="blank",0,H11/'Input Global'!H$18)</f>
        <v>1.5507224999999996</v>
      </c>
    </row>
    <row r="89" spans="1:8" x14ac:dyDescent="0.3">
      <c r="A89" t="str">
        <f t="shared" si="9"/>
        <v>Retail and Residual</v>
      </c>
      <c r="C89" t="s">
        <v>17</v>
      </c>
      <c r="D89" s="107">
        <f ca="1">IF(LEFT($A$84,5)="blank",0,D12/'Input Global'!D$18)</f>
        <v>1.0870294947788297</v>
      </c>
      <c r="E89" s="107">
        <f ca="1">IF(LEFT($A$84,5)="blank",0,E12/'Input Global'!E$18)</f>
        <v>1.2443333376906691</v>
      </c>
      <c r="F89" s="107">
        <f ca="1">IF(LEFT($A$84,5)="blank",0,F12/'Input Global'!F$18)</f>
        <v>1.5132831273790388</v>
      </c>
      <c r="G89" s="107">
        <f ca="1">IF(LEFT($A$84,5)="blank",0,G12/'Input Global'!G$18)</f>
        <v>1.5212099794966081</v>
      </c>
      <c r="H89" s="107">
        <f ca="1">IF(LEFT($A$84,5)="blank",0,H12/'Input Global'!H$18)</f>
        <v>1.5381299157983106</v>
      </c>
    </row>
    <row r="90" spans="1:8" x14ac:dyDescent="0.3">
      <c r="A90" t="str">
        <f t="shared" si="9"/>
        <v>Green Schemes</v>
      </c>
      <c r="C90" t="s">
        <v>17</v>
      </c>
      <c r="D90" s="103"/>
      <c r="E90" s="103"/>
      <c r="F90" s="103"/>
      <c r="G90" s="103"/>
      <c r="H90" s="103"/>
    </row>
    <row r="91" spans="1:8" x14ac:dyDescent="0.3">
      <c r="A91" s="11" t="str">
        <f t="shared" si="9"/>
        <v>Feed-in Tariffs</v>
      </c>
      <c r="C91" t="s">
        <v>17</v>
      </c>
      <c r="D91" s="107">
        <f>IF(LEFT($A$84,5)="blank",0,D14/'Input Global'!D$18)</f>
        <v>0.17699999999999999</v>
      </c>
      <c r="E91" s="107">
        <f>IF(LEFT($A$84,5)="blank",0,E14/'Input Global'!E$18)</f>
        <v>0.19817619657770696</v>
      </c>
      <c r="F91" s="107">
        <f>IF(LEFT($A$84,5)="blank",0,F14/'Input Global'!F$18)</f>
        <v>0.39229200465000003</v>
      </c>
      <c r="G91" s="107">
        <f>IF(LEFT($A$84,5)="blank",0,G14/'Input Global'!G$18)</f>
        <v>0.48424525053995998</v>
      </c>
      <c r="H91" s="107">
        <f>IF(LEFT($A$84,5)="blank",0,H14/'Input Global'!H$18)</f>
        <v>0.48424525053995998</v>
      </c>
    </row>
    <row r="92" spans="1:8" x14ac:dyDescent="0.3">
      <c r="A92" s="11" t="str">
        <f t="shared" si="9"/>
        <v>Carbon costs</v>
      </c>
      <c r="C92" t="s">
        <v>17</v>
      </c>
      <c r="D92" s="107">
        <f ca="1">IF(LEFT($A$84,5)="blank",0,D15/'Input Global'!D$18)</f>
        <v>0</v>
      </c>
      <c r="E92" s="107">
        <f ca="1">IF(LEFT($A$84,5)="blank",0,E15/'Input Global'!E$18)</f>
        <v>0</v>
      </c>
      <c r="F92" s="107">
        <f ca="1">IF(LEFT($A$84,5)="blank",0,F15/'Input Global'!F$18)</f>
        <v>2.0428249999999997</v>
      </c>
      <c r="G92" s="107">
        <f ca="1">IF(LEFT($A$84,5)="blank",0,G15/'Input Global'!G$18)</f>
        <v>2.3935609856277189</v>
      </c>
      <c r="H92" s="107">
        <f ca="1">IF(LEFT($A$84,5)="blank",0,H15/'Input Global'!H$18)</f>
        <v>2.2574568954744443</v>
      </c>
    </row>
    <row r="93" spans="1:8" x14ac:dyDescent="0.3">
      <c r="A93" s="11" t="str">
        <f t="shared" si="9"/>
        <v>Large Scale Renewable Energy Target</v>
      </c>
      <c r="C93" t="s">
        <v>17</v>
      </c>
      <c r="D93" s="107">
        <f ca="1">IF(LEFT($A$84,5)="blank",0,D16/'Input Global'!D$18)</f>
        <v>0.184</v>
      </c>
      <c r="E93" s="107">
        <f ca="1">IF(LEFT($A$84,5)="blank",0,E16/'Input Global'!E$18)</f>
        <v>0.27367499999999995</v>
      </c>
      <c r="F93" s="107">
        <f ca="1">IF(LEFT($A$84,5)="blank",0,F16/'Input Global'!F$18)</f>
        <v>0.45407499999999995</v>
      </c>
      <c r="G93" s="107">
        <f ca="1">IF(LEFT($A$84,5)="blank",0,G16/'Input Global'!G$18)</f>
        <v>0.48656705269465428</v>
      </c>
      <c r="H93" s="107">
        <f ca="1">IF(LEFT($A$84,5)="blank",0,H16/'Input Global'!H$18)</f>
        <v>0.51525329609533654</v>
      </c>
    </row>
    <row r="94" spans="1:8" x14ac:dyDescent="0.3">
      <c r="A94" s="11" t="str">
        <f t="shared" si="9"/>
        <v>Small Scale Renewable Energy Scheme</v>
      </c>
      <c r="C94" t="s">
        <v>17</v>
      </c>
      <c r="D94" s="107">
        <f ca="1">IF(LEFT($A$84,5)="blank",0,D17/'Input Global'!D$18)</f>
        <v>0</v>
      </c>
      <c r="E94" s="107">
        <f ca="1">IF(LEFT($A$84,5)="blank",0,E17/'Input Global'!E$18)</f>
        <v>0.62012499999999982</v>
      </c>
      <c r="F94" s="107">
        <f ca="1">IF(LEFT($A$84,5)="blank",0,F17/'Input Global'!F$18)</f>
        <v>0.55042499999999994</v>
      </c>
      <c r="G94" s="107">
        <f ca="1">IF(LEFT($A$84,5)="blank",0,G17/'Input Global'!G$18)</f>
        <v>0.2422560188087774</v>
      </c>
      <c r="H94" s="107">
        <f ca="1">IF(LEFT($A$84,5)="blank",0,H17/'Input Global'!H$18)</f>
        <v>0.21050736677115994</v>
      </c>
    </row>
    <row r="95" spans="1:8" x14ac:dyDescent="0.3">
      <c r="A95" s="11" t="str">
        <f t="shared" si="9"/>
        <v>Energy savings</v>
      </c>
      <c r="C95" t="s">
        <v>17</v>
      </c>
      <c r="D95" s="107">
        <f ca="1">IF(LEFT($A$84,5)="blank",0,D18/'Input Global'!D$18)</f>
        <v>7.1999999999999995E-2</v>
      </c>
      <c r="E95" s="107">
        <f ca="1">IF(LEFT($A$84,5)="blank",0,E18/'Input Global'!E$18)</f>
        <v>0.111725</v>
      </c>
      <c r="F95" s="107">
        <f ca="1">IF(LEFT($A$84,5)="blank",0,F18/'Input Global'!F$18)</f>
        <v>0.155</v>
      </c>
      <c r="G95" s="107">
        <f ca="1">IF(LEFT($A$84,5)="blank",0,G18/'Input Global'!G$18)</f>
        <v>0</v>
      </c>
      <c r="H95" s="107">
        <f ca="1">IF(LEFT($A$84,5)="blank",0,H18/'Input Global'!H$18)</f>
        <v>0</v>
      </c>
    </row>
    <row r="96" spans="1:8" x14ac:dyDescent="0.3">
      <c r="A96" s="11" t="str">
        <f t="shared" si="9"/>
        <v>Blank</v>
      </c>
      <c r="C96" t="s">
        <v>17</v>
      </c>
      <c r="D96" s="107">
        <f ca="1">IF(LEFT($A$84,5)="blank",0,D19/'Input Global'!D$18)</f>
        <v>0</v>
      </c>
      <c r="E96" s="107">
        <f ca="1">IF(LEFT($A$84,5)="blank",0,E19/'Input Global'!E$18)</f>
        <v>0</v>
      </c>
      <c r="F96" s="107">
        <f ca="1">IF(LEFT($A$84,5)="blank",0,F19/'Input Global'!F$18)</f>
        <v>0</v>
      </c>
      <c r="G96" s="107">
        <f ca="1">IF(LEFT($A$84,5)="blank",0,G19/'Input Global'!G$18)</f>
        <v>0</v>
      </c>
      <c r="H96" s="107">
        <f ca="1">IF(LEFT($A$84,5)="blank",0,H19/'Input Global'!H$18)</f>
        <v>0</v>
      </c>
    </row>
    <row r="97" spans="1:8" x14ac:dyDescent="0.3">
      <c r="A97" s="12" t="s">
        <v>61</v>
      </c>
      <c r="B97" s="12"/>
      <c r="C97" s="12" t="s">
        <v>17</v>
      </c>
      <c r="D97" s="107">
        <f ca="1">SUM(D85:D96)</f>
        <v>21.217205324016419</v>
      </c>
      <c r="E97" s="107">
        <f t="shared" ref="E97:H97" ca="1" si="10">SUM(E85:E96)</f>
        <v>24.287543294925278</v>
      </c>
      <c r="F97" s="107">
        <f t="shared" ca="1" si="10"/>
        <v>29.537044745509387</v>
      </c>
      <c r="G97" s="107">
        <f t="shared" ca="1" si="10"/>
        <v>29.691765155359722</v>
      </c>
      <c r="H97" s="107">
        <f t="shared" ca="1" si="10"/>
        <v>30.022017245396658</v>
      </c>
    </row>
    <row r="99" spans="1:8" x14ac:dyDescent="0.3">
      <c r="A99" s="8" t="str">
        <f>Dist2</f>
        <v>Essential</v>
      </c>
    </row>
    <row r="100" spans="1:8" x14ac:dyDescent="0.3">
      <c r="A100" t="str">
        <f>A85</f>
        <v>Wholesale</v>
      </c>
      <c r="C100" t="s">
        <v>17</v>
      </c>
      <c r="D100" s="107">
        <f ca="1">IF(LEFT($A$99,5)="blank",0,D23/'Input Global'!D$19)</f>
        <v>7.2590000000000003</v>
      </c>
      <c r="E100" s="107">
        <f ca="1">IF(LEFT($A$99,5)="blank",0,E23/'Input Global'!E$19)</f>
        <v>7.1310000000000002</v>
      </c>
      <c r="F100" s="107">
        <f ca="1">IF(LEFT($A$99,5)="blank",0,F23/'Input Global'!F$19)</f>
        <v>7.4586236500000007</v>
      </c>
      <c r="G100" s="107">
        <f ca="1">IF(LEFT($A$99,5)="blank",0,G23/'Input Global'!G$19)</f>
        <v>6.5742592126566795</v>
      </c>
      <c r="H100" s="107">
        <f ca="1">IF(LEFT($A$99,5)="blank",0,H23/'Input Global'!H$19)</f>
        <v>6.5065560905507667</v>
      </c>
    </row>
    <row r="101" spans="1:8" x14ac:dyDescent="0.3">
      <c r="A101" t="str">
        <f t="shared" ref="A101:A111" si="11">A86</f>
        <v>Transmission</v>
      </c>
      <c r="C101" t="s">
        <v>17</v>
      </c>
      <c r="D101" s="107">
        <f>IF(LEFT($A$99,5)="blank",0,D24/'Input Global'!D$19)</f>
        <v>2.1191030893293696</v>
      </c>
      <c r="E101" s="107">
        <f>IF(LEFT($A$99,5)="blank",0,E24/'Input Global'!E$19)</f>
        <v>2.5446</v>
      </c>
      <c r="F101" s="107">
        <f>IF(LEFT($A$99,5)="blank",0,F24/'Input Global'!F$19)</f>
        <v>2.7676417132395836</v>
      </c>
      <c r="G101" s="107">
        <f>IF(LEFT($A$99,5)="blank",0,G24/'Input Global'!G$19)</f>
        <v>2.9604536301246367</v>
      </c>
      <c r="H101" s="107">
        <f>IF(LEFT($A$99,5)="blank",0,H24/'Input Global'!H$19)</f>
        <v>3.1666980787984134</v>
      </c>
    </row>
    <row r="102" spans="1:8" x14ac:dyDescent="0.3">
      <c r="A102" t="str">
        <f t="shared" si="11"/>
        <v>Distribution</v>
      </c>
      <c r="C102" t="s">
        <v>17</v>
      </c>
      <c r="D102" s="107">
        <f>IF(LEFT($A$99,5)="blank",0,D25/'Input Global'!D$19)</f>
        <v>12.817635714285757</v>
      </c>
      <c r="E102" s="107">
        <f>IF(LEFT($A$99,5)="blank",0,E25/'Input Global'!E$19)</f>
        <v>15.660097142857142</v>
      </c>
      <c r="F102" s="107">
        <f>IF(LEFT($A$99,5)="blank",0,F25/'Input Global'!F$19)</f>
        <v>18.760154107428573</v>
      </c>
      <c r="G102" s="107">
        <f>IF(LEFT($A$99,5)="blank",0,G25/'Input Global'!G$19)</f>
        <v>18.381439508665245</v>
      </c>
      <c r="H102" s="107">
        <f>IF(LEFT($A$99,5)="blank",0,H25/'Input Global'!H$19)</f>
        <v>18.850897529191698</v>
      </c>
    </row>
    <row r="103" spans="1:8" x14ac:dyDescent="0.3">
      <c r="A103" t="str">
        <f t="shared" si="11"/>
        <v>Retail</v>
      </c>
      <c r="C103" t="s">
        <v>17</v>
      </c>
      <c r="D103" s="107">
        <f>IF(LEFT($A$99,5)="blank",0,D26/'Input Global'!D$19)</f>
        <v>1.32</v>
      </c>
      <c r="E103" s="107">
        <f>IF(LEFT($A$99,5)="blank",0,E26/'Input Global'!E$19)</f>
        <v>1.43</v>
      </c>
      <c r="F103" s="107">
        <f>IF(LEFT($A$99,5)="blank",0,F26/'Input Global'!F$19)</f>
        <v>1.4964999999999997</v>
      </c>
      <c r="G103" s="107">
        <f>IF(LEFT($A$99,5)="blank",0,G26/'Input Global'!G$19)</f>
        <v>1.5339124999999998</v>
      </c>
      <c r="H103" s="107">
        <f>IF(LEFT($A$99,5)="blank",0,H26/'Input Global'!H$19)</f>
        <v>1.5722603124999996</v>
      </c>
    </row>
    <row r="104" spans="1:8" x14ac:dyDescent="0.3">
      <c r="A104" t="str">
        <f t="shared" si="11"/>
        <v>Retail and Residual</v>
      </c>
      <c r="C104" t="s">
        <v>17</v>
      </c>
      <c r="D104" s="107">
        <f ca="1">IF(LEFT($A$99,5)="blank",0,D27/'Input Global'!D$19)</f>
        <v>1.2927419127727335</v>
      </c>
      <c r="E104" s="107">
        <f ca="1">IF(LEFT($A$99,5)="blank",0,E27/'Input Global'!E$19)</f>
        <v>1.5097763957142858</v>
      </c>
      <c r="F104" s="107">
        <f ca="1">IF(LEFT($A$99,5)="blank",0,F27/'Input Global'!F$19)</f>
        <v>1.8372386012453259</v>
      </c>
      <c r="G104" s="107">
        <f ca="1">IF(LEFT($A$99,5)="blank",0,G27/'Input Global'!G$19)</f>
        <v>1.7804123671909977</v>
      </c>
      <c r="H104" s="107">
        <f ca="1">IF(LEFT($A$99,5)="blank",0,H27/'Input Global'!H$19)</f>
        <v>1.8071654793931806</v>
      </c>
    </row>
    <row r="105" spans="1:8" x14ac:dyDescent="0.3">
      <c r="A105" t="str">
        <f t="shared" si="11"/>
        <v>Green Schemes</v>
      </c>
      <c r="C105" t="s">
        <v>17</v>
      </c>
      <c r="D105" s="103"/>
      <c r="E105" s="103"/>
      <c r="F105" s="103"/>
      <c r="G105" s="103"/>
      <c r="H105" s="103"/>
    </row>
    <row r="106" spans="1:8" x14ac:dyDescent="0.3">
      <c r="A106" s="11" t="str">
        <f t="shared" si="11"/>
        <v>Feed-in Tariffs</v>
      </c>
      <c r="C106" t="s">
        <v>17</v>
      </c>
      <c r="D106" s="107">
        <f>IF(LEFT($A$99,5)="blank",0,D29/'Input Global'!D$19)</f>
        <v>0.16792624773178752</v>
      </c>
      <c r="E106" s="107">
        <f>IF(LEFT($A$99,5)="blank",0,E29/'Input Global'!E$19)</f>
        <v>0.1794</v>
      </c>
      <c r="F106" s="107">
        <f>IF(LEFT($A$99,5)="blank",0,F29/'Input Global'!F$19)</f>
        <v>0.32151758943047254</v>
      </c>
      <c r="G106" s="107">
        <f>IF(LEFT($A$99,5)="blank",0,G29/'Input Global'!G$19)</f>
        <v>0.39688131239297536</v>
      </c>
      <c r="H106" s="107">
        <f>IF(LEFT($A$99,5)="blank",0,H29/'Input Global'!H$19)</f>
        <v>0.39688131239297536</v>
      </c>
    </row>
    <row r="107" spans="1:8" x14ac:dyDescent="0.3">
      <c r="A107" s="11" t="str">
        <f t="shared" si="11"/>
        <v>Carbon costs</v>
      </c>
      <c r="C107" t="s">
        <v>17</v>
      </c>
      <c r="D107" s="107">
        <f ca="1">IF(LEFT($A$99,5)="blank",0,D30/'Input Global'!D$19)</f>
        <v>0</v>
      </c>
      <c r="E107" s="107">
        <f ca="1">IF(LEFT($A$99,5)="blank",0,E30/'Input Global'!E$19)</f>
        <v>0</v>
      </c>
      <c r="F107" s="107">
        <f ca="1">IF(LEFT($A$99,5)="blank",0,F30/'Input Global'!F$19)</f>
        <v>2.0335999999999999</v>
      </c>
      <c r="G107" s="107">
        <f ca="1">IF(LEFT($A$99,5)="blank",0,G30/'Input Global'!G$19)</f>
        <v>2.3829047269520003</v>
      </c>
      <c r="H107" s="107">
        <f ca="1">IF(LEFT($A$99,5)="blank",0,H30/'Input Global'!H$19)</f>
        <v>2.2364021594082542</v>
      </c>
    </row>
    <row r="108" spans="1:8" x14ac:dyDescent="0.3">
      <c r="A108" s="11" t="str">
        <f t="shared" si="11"/>
        <v>Large Scale Renewable Energy Target</v>
      </c>
      <c r="C108" t="s">
        <v>17</v>
      </c>
      <c r="D108" s="107">
        <f ca="1">IF(LEFT($A$99,5)="blank",0,D31/'Input Global'!D$19)</f>
        <v>0.184</v>
      </c>
      <c r="E108" s="107">
        <f ca="1">IF(LEFT($A$99,5)="blank",0,E31/'Input Global'!E$19)</f>
        <v>0.27162499999999995</v>
      </c>
      <c r="F108" s="107">
        <f ca="1">IF(LEFT($A$99,5)="blank",0,F31/'Input Global'!F$19)</f>
        <v>0.45509999999999995</v>
      </c>
      <c r="G108" s="107">
        <f ca="1">IF(LEFT($A$99,5)="blank",0,G31/'Input Global'!G$19)</f>
        <v>0.4876653981860643</v>
      </c>
      <c r="H108" s="107">
        <f ca="1">IF(LEFT($A$99,5)="blank",0,H31/'Input Global'!H$19)</f>
        <v>0.51641639608652246</v>
      </c>
    </row>
    <row r="109" spans="1:8" x14ac:dyDescent="0.3">
      <c r="A109" s="11" t="str">
        <f t="shared" si="11"/>
        <v>Small Scale Renewable Energy Scheme</v>
      </c>
      <c r="C109" t="s">
        <v>17</v>
      </c>
      <c r="D109" s="107">
        <f ca="1">IF(LEFT($A$99,5)="blank",0,D32/'Input Global'!D$19)</f>
        <v>0</v>
      </c>
      <c r="E109" s="107">
        <f ca="1">IF(LEFT($A$99,5)="blank",0,E32/'Input Global'!E$19)</f>
        <v>0.63037500000000002</v>
      </c>
      <c r="F109" s="107">
        <f ca="1">IF(LEFT($A$99,5)="blank",0,F32/'Input Global'!F$19)</f>
        <v>0.57502500000000001</v>
      </c>
      <c r="G109" s="107">
        <f ca="1">IF(LEFT($A$99,5)="blank",0,G32/'Input Global'!G$19)</f>
        <v>0.25308310344827584</v>
      </c>
      <c r="H109" s="107">
        <f ca="1">IF(LEFT($A$99,5)="blank",0,H32/'Input Global'!H$19)</f>
        <v>0.21991551724137939</v>
      </c>
    </row>
    <row r="110" spans="1:8" x14ac:dyDescent="0.3">
      <c r="A110" s="11" t="str">
        <f t="shared" si="11"/>
        <v>Energy savings</v>
      </c>
      <c r="C110" t="s">
        <v>17</v>
      </c>
      <c r="D110" s="107">
        <f ca="1">IF(LEFT($A$99,5)="blank",0,D33/'Input Global'!D$19)</f>
        <v>7.1999999999999995E-2</v>
      </c>
      <c r="E110" s="107">
        <f ca="1">IF(LEFT($A$99,5)="blank",0,E33/'Input Global'!E$19)</f>
        <v>0.111725</v>
      </c>
      <c r="F110" s="107">
        <f ca="1">IF(LEFT($A$99,5)="blank",0,F33/'Input Global'!F$19)</f>
        <v>0.154775</v>
      </c>
      <c r="G110" s="107">
        <f ca="1">IF(LEFT($A$99,5)="blank",0,G33/'Input Global'!G$19)</f>
        <v>0</v>
      </c>
      <c r="H110" s="107">
        <f ca="1">IF(LEFT($A$99,5)="blank",0,H33/'Input Global'!H$19)</f>
        <v>0</v>
      </c>
    </row>
    <row r="111" spans="1:8" x14ac:dyDescent="0.3">
      <c r="A111" s="11" t="str">
        <f t="shared" si="11"/>
        <v>Blank</v>
      </c>
      <c r="C111" t="s">
        <v>17</v>
      </c>
      <c r="D111" s="107">
        <f ca="1">IF(LEFT($A$99,5)="blank",0,D34/'Input Global'!D$19)</f>
        <v>0</v>
      </c>
      <c r="E111" s="107">
        <f ca="1">IF(LEFT($A$99,5)="blank",0,E34/'Input Global'!E$19)</f>
        <v>0</v>
      </c>
      <c r="F111" s="107">
        <f ca="1">IF(LEFT($A$99,5)="blank",0,F34/'Input Global'!F$19)</f>
        <v>0</v>
      </c>
      <c r="G111" s="107">
        <f ca="1">IF(LEFT($A$99,5)="blank",0,G34/'Input Global'!G$19)</f>
        <v>0</v>
      </c>
      <c r="H111" s="107">
        <f ca="1">IF(LEFT($A$99,5)="blank",0,H34/'Input Global'!H$19)</f>
        <v>0</v>
      </c>
    </row>
    <row r="112" spans="1:8" x14ac:dyDescent="0.3">
      <c r="A112" s="12" t="s">
        <v>61</v>
      </c>
      <c r="B112" s="12"/>
      <c r="C112" s="12" t="s">
        <v>17</v>
      </c>
      <c r="D112" s="107">
        <f ca="1">SUM(D100:D111)</f>
        <v>25.232406964119651</v>
      </c>
      <c r="E112" s="107">
        <f t="shared" ref="E112:H112" ca="1" si="12">SUM(E100:E111)</f>
        <v>29.468598538571431</v>
      </c>
      <c r="F112" s="107">
        <f t="shared" ca="1" si="12"/>
        <v>35.860175661343952</v>
      </c>
      <c r="G112" s="107">
        <f t="shared" ca="1" si="12"/>
        <v>34.75101175961688</v>
      </c>
      <c r="H112" s="107">
        <f t="shared" ca="1" si="12"/>
        <v>35.27319287556319</v>
      </c>
    </row>
    <row r="114" spans="1:8" x14ac:dyDescent="0.3">
      <c r="A114" s="8" t="str">
        <f>Dist3</f>
        <v>Endeavour</v>
      </c>
    </row>
    <row r="115" spans="1:8" x14ac:dyDescent="0.3">
      <c r="A115" t="str">
        <f>A100</f>
        <v>Wholesale</v>
      </c>
      <c r="C115" t="s">
        <v>17</v>
      </c>
      <c r="D115" s="107">
        <f ca="1">IF(LEFT($A$114,5)="blank",0,D38/'Input Global'!D$20)</f>
        <v>7.7910000000000004</v>
      </c>
      <c r="E115" s="107">
        <f ca="1">IF(LEFT($A$114,5)="blank",0,E38/'Input Global'!E$20)</f>
        <v>7.8330000000000002</v>
      </c>
      <c r="F115" s="107">
        <f ca="1">IF(LEFT($A$114,5)="blank",0,F38/'Input Global'!F$20)</f>
        <v>7.9835999999999991</v>
      </c>
      <c r="G115" s="107">
        <f ca="1">IF(LEFT($A$114,5)="blank",0,G38/'Input Global'!G$20)</f>
        <v>7.3081502874463693</v>
      </c>
      <c r="H115" s="107">
        <f ca="1">IF(LEFT($A$114,5)="blank",0,H38/'Input Global'!H$20)</f>
        <v>7.2395580706351472</v>
      </c>
    </row>
    <row r="116" spans="1:8" x14ac:dyDescent="0.3">
      <c r="A116" t="str">
        <f t="shared" ref="A116:A126" si="13">A101</f>
        <v>Transmission</v>
      </c>
      <c r="C116" t="s">
        <v>17</v>
      </c>
      <c r="D116" s="107">
        <f>IF(LEFT($A$114,5)="blank",0,D39/'Input Global'!D$20)</f>
        <v>1.249397574532169</v>
      </c>
      <c r="E116" s="107">
        <f>IF(LEFT($A$114,5)="blank",0,E39/'Input Global'!E$20)</f>
        <v>1.2585029639840879</v>
      </c>
      <c r="F116" s="107">
        <f>IF(LEFT($A$114,5)="blank",0,F39/'Input Global'!F$20)</f>
        <v>1.422070621886677</v>
      </c>
      <c r="G116" s="107">
        <f>IF(LEFT($A$114,5)="blank",0,G39/'Input Global'!G$20)</f>
        <v>1.521141307676761</v>
      </c>
      <c r="H116" s="107">
        <f>IF(LEFT($A$114,5)="blank",0,H39/'Input Global'!H$20)</f>
        <v>1.6271139015942322</v>
      </c>
    </row>
    <row r="117" spans="1:8" x14ac:dyDescent="0.3">
      <c r="A117" t="str">
        <f t="shared" si="13"/>
        <v>Distribution</v>
      </c>
      <c r="C117" t="s">
        <v>17</v>
      </c>
      <c r="D117" s="107">
        <f>IF(LEFT($A$114,5)="blank",0,D40/'Input Global'!D$20)</f>
        <v>9.6471469064325959</v>
      </c>
      <c r="E117" s="107">
        <f>IF(LEFT($A$114,5)="blank",0,E40/'Input Global'!E$20)</f>
        <v>11.275603248719619</v>
      </c>
      <c r="F117" s="107">
        <f>IF(LEFT($A$114,5)="blank",0,F40/'Input Global'!F$20)</f>
        <v>8.1274565157935008</v>
      </c>
      <c r="G117" s="107">
        <f>IF(LEFT($A$114,5)="blank",0,G40/'Input Global'!G$20)</f>
        <v>7.2969442103148969</v>
      </c>
      <c r="H117" s="107">
        <f>IF(LEFT($A$114,5)="blank",0,H40/'Input Global'!H$20)</f>
        <v>7.6004007355727694</v>
      </c>
    </row>
    <row r="118" spans="1:8" x14ac:dyDescent="0.3">
      <c r="A118" t="str">
        <f t="shared" si="13"/>
        <v>Retail</v>
      </c>
      <c r="C118" t="s">
        <v>17</v>
      </c>
      <c r="D118" s="107">
        <f>IF(LEFT($A$114,5)="blank",0,D41/'Input Global'!D$20)</f>
        <v>1.1400000000000001</v>
      </c>
      <c r="E118" s="107">
        <f>IF(LEFT($A$114,5)="blank",0,E41/'Input Global'!E$20)</f>
        <v>1.32</v>
      </c>
      <c r="F118" s="107">
        <f>IF(LEFT($A$114,5)="blank",0,F41/'Input Global'!F$20)</f>
        <v>1.3837499999999998</v>
      </c>
      <c r="G118" s="107">
        <f>IF(LEFT($A$114,5)="blank",0,G41/'Input Global'!G$20)</f>
        <v>1.4183437499999996</v>
      </c>
      <c r="H118" s="107">
        <f>IF(LEFT($A$114,5)="blank",0,H41/'Input Global'!H$20)</f>
        <v>1.4538023437499994</v>
      </c>
    </row>
    <row r="119" spans="1:8" x14ac:dyDescent="0.3">
      <c r="A119" t="str">
        <f t="shared" si="13"/>
        <v>Retail and Residual</v>
      </c>
      <c r="C119" t="s">
        <v>17</v>
      </c>
      <c r="D119" s="107">
        <f ca="1">IF(LEFT($A$114,5)="blank",0,D42/'Input Global'!D$20)</f>
        <v>1.0968126019720974</v>
      </c>
      <c r="E119" s="107">
        <f ca="1">IF(LEFT($A$114,5)="blank",0,E42/'Input Global'!E$20)</f>
        <v>1.2377909192546555</v>
      </c>
      <c r="F119" s="107">
        <f ca="1">IF(LEFT($A$114,5)="blank",0,F42/'Input Global'!F$20)</f>
        <v>1.4056673654347296</v>
      </c>
      <c r="G119" s="107">
        <f ca="1">IF(LEFT($A$114,5)="blank",0,G42/'Input Global'!G$20)</f>
        <v>1.3760870048775398</v>
      </c>
      <c r="H119" s="107">
        <f ca="1">IF(LEFT($A$114,5)="blank",0,H42/'Input Global'!H$20)</f>
        <v>1.3885065865392578</v>
      </c>
    </row>
    <row r="120" spans="1:8" x14ac:dyDescent="0.3">
      <c r="A120" t="str">
        <f t="shared" si="13"/>
        <v>Green Schemes</v>
      </c>
      <c r="C120" t="s">
        <v>17</v>
      </c>
      <c r="D120" s="103"/>
      <c r="E120" s="103"/>
      <c r="F120" s="103"/>
      <c r="G120" s="103"/>
      <c r="H120" s="103"/>
    </row>
    <row r="121" spans="1:8" x14ac:dyDescent="0.3">
      <c r="A121" s="11" t="str">
        <f t="shared" si="13"/>
        <v>Feed-in Tariffs</v>
      </c>
      <c r="C121" t="s">
        <v>17</v>
      </c>
      <c r="D121" s="107">
        <f>IF(LEFT($A$114,5)="blank",0,D44/'Input Global'!D$20)</f>
        <v>0.22779999999999997</v>
      </c>
      <c r="E121" s="107">
        <f>IF(LEFT($A$114,5)="blank",0,E44/'Input Global'!E$20)</f>
        <v>0.22942284756769224</v>
      </c>
      <c r="F121" s="107">
        <f>IF(LEFT($A$114,5)="blank",0,F44/'Input Global'!F$20)</f>
        <v>3.9219999999999993</v>
      </c>
      <c r="G121" s="107">
        <f>IF(LEFT($A$114,5)="blank",0,G44/'Input Global'!G$20)</f>
        <v>4.8413167999999986</v>
      </c>
      <c r="H121" s="107">
        <f>IF(LEFT($A$114,5)="blank",0,H44/'Input Global'!H$20)</f>
        <v>4.8413167999999986</v>
      </c>
    </row>
    <row r="122" spans="1:8" x14ac:dyDescent="0.3">
      <c r="A122" s="11" t="str">
        <f t="shared" si="13"/>
        <v>Carbon costs</v>
      </c>
      <c r="C122" t="s">
        <v>17</v>
      </c>
      <c r="D122" s="107">
        <f ca="1">IF(LEFT($A$114,5)="blank",0,D45/'Input Global'!D$20)</f>
        <v>0</v>
      </c>
      <c r="E122" s="107">
        <f ca="1">IF(LEFT($A$114,5)="blank",0,E45/'Input Global'!E$20)</f>
        <v>0</v>
      </c>
      <c r="F122" s="107">
        <f ca="1">IF(LEFT($A$114,5)="blank",0,F45/'Input Global'!F$20)</f>
        <v>2.0139999999999998</v>
      </c>
      <c r="G122" s="107">
        <f ca="1">IF(LEFT($A$114,5)="blank",0,G45/'Input Global'!G$20)</f>
        <v>2.3583840000102088</v>
      </c>
      <c r="H122" s="107">
        <f ca="1">IF(LEFT($A$114,5)="blank",0,H45/'Input Global'!H$20)</f>
        <v>2.2158567482026963</v>
      </c>
    </row>
    <row r="123" spans="1:8" x14ac:dyDescent="0.3">
      <c r="A123" s="11" t="str">
        <f t="shared" si="13"/>
        <v>Large Scale Renewable Energy Target</v>
      </c>
      <c r="C123" t="s">
        <v>17</v>
      </c>
      <c r="D123" s="107">
        <f ca="1">IF(LEFT($A$114,5)="blank",0,D46/'Input Global'!D$20)</f>
        <v>0.184</v>
      </c>
      <c r="E123" s="107">
        <f ca="1">IF(LEFT($A$114,5)="blank",0,E46/'Input Global'!E$20)</f>
        <v>0.27060000000000001</v>
      </c>
      <c r="F123" s="107">
        <f ca="1">IF(LEFT($A$114,5)="blank",0,F46/'Input Global'!F$20)</f>
        <v>0.45700000000000002</v>
      </c>
      <c r="G123" s="107">
        <f ca="1">IF(LEFT($A$114,5)="blank",0,G46/'Input Global'!G$20)</f>
        <v>0.48970135568233664</v>
      </c>
      <c r="H123" s="107">
        <f ca="1">IF(LEFT($A$114,5)="blank",0,H46/'Input Global'!H$20)</f>
        <v>0.51857238631408642</v>
      </c>
    </row>
    <row r="124" spans="1:8" x14ac:dyDescent="0.3">
      <c r="A124" s="11" t="str">
        <f t="shared" si="13"/>
        <v>Small Scale Renewable Energy Scheme</v>
      </c>
      <c r="C124" t="s">
        <v>17</v>
      </c>
      <c r="D124" s="107">
        <f ca="1">IF(LEFT($A$114,5)="blank",0,D47/'Input Global'!D$20)</f>
        <v>0</v>
      </c>
      <c r="E124" s="107">
        <f ca="1">IF(LEFT($A$114,5)="blank",0,E47/'Input Global'!E$20)</f>
        <v>0.62319999999999998</v>
      </c>
      <c r="F124" s="107">
        <f ca="1">IF(LEFT($A$114,5)="blank",0,F47/'Input Global'!F$20)</f>
        <v>0.56599999999999995</v>
      </c>
      <c r="G124" s="107">
        <f ca="1">IF(LEFT($A$114,5)="blank",0,G47/'Input Global'!G$20)</f>
        <v>0.24911097178683381</v>
      </c>
      <c r="H124" s="107">
        <f ca="1">IF(LEFT($A$114,5)="blank",0,H47/'Input Global'!H$20)</f>
        <v>0.2164639498432602</v>
      </c>
    </row>
    <row r="125" spans="1:8" x14ac:dyDescent="0.3">
      <c r="A125" s="11" t="str">
        <f t="shared" si="13"/>
        <v>Energy savings</v>
      </c>
      <c r="C125" t="s">
        <v>17</v>
      </c>
      <c r="D125" s="107">
        <f ca="1">IF(LEFT($A$114,5)="blank",0,D48/'Input Global'!D$20)</f>
        <v>7.1999999999999995E-2</v>
      </c>
      <c r="E125" s="107">
        <f ca="1">IF(LEFT($A$114,5)="blank",0,E48/'Input Global'!E$20)</f>
        <v>0.111725</v>
      </c>
      <c r="F125" s="107">
        <f ca="1">IF(LEFT($A$114,5)="blank",0,F48/'Input Global'!F$20)</f>
        <v>0.155</v>
      </c>
      <c r="G125" s="107">
        <f ca="1">IF(LEFT($A$114,5)="blank",0,G48/'Input Global'!G$20)</f>
        <v>0</v>
      </c>
      <c r="H125" s="107">
        <f ca="1">IF(LEFT($A$114,5)="blank",0,H48/'Input Global'!H$20)</f>
        <v>0</v>
      </c>
    </row>
    <row r="126" spans="1:8" x14ac:dyDescent="0.3">
      <c r="A126" s="11" t="str">
        <f t="shared" si="13"/>
        <v>Blank</v>
      </c>
      <c r="C126" t="s">
        <v>17</v>
      </c>
      <c r="D126" s="107">
        <f ca="1">IF(LEFT($A$114,5)="blank",0,D49/'Input Global'!D$20)</f>
        <v>0</v>
      </c>
      <c r="E126" s="107">
        <f ca="1">IF(LEFT($A$114,5)="blank",0,E49/'Input Global'!E$20)</f>
        <v>0</v>
      </c>
      <c r="F126" s="107">
        <f ca="1">IF(LEFT($A$114,5)="blank",0,F49/'Input Global'!F$20)</f>
        <v>0</v>
      </c>
      <c r="G126" s="107">
        <f ca="1">IF(LEFT($A$114,5)="blank",0,G49/'Input Global'!G$20)</f>
        <v>0</v>
      </c>
      <c r="H126" s="107">
        <f ca="1">IF(LEFT($A$114,5)="blank",0,H49/'Input Global'!H$20)</f>
        <v>0</v>
      </c>
    </row>
    <row r="127" spans="1:8" x14ac:dyDescent="0.3">
      <c r="A127" s="12" t="s">
        <v>61</v>
      </c>
      <c r="B127" s="12"/>
      <c r="C127" s="12" t="s">
        <v>17</v>
      </c>
      <c r="D127" s="107">
        <f ca="1">SUM(D115:D126)</f>
        <v>21.408157082936864</v>
      </c>
      <c r="E127" s="107">
        <f t="shared" ref="E127:H127" ca="1" si="14">SUM(E115:E126)</f>
        <v>24.15984497952606</v>
      </c>
      <c r="F127" s="107">
        <f t="shared" ca="1" si="14"/>
        <v>27.436544503114906</v>
      </c>
      <c r="G127" s="107">
        <f t="shared" ca="1" si="14"/>
        <v>26.859179687794942</v>
      </c>
      <c r="H127" s="107">
        <f t="shared" ca="1" si="14"/>
        <v>27.101591522451447</v>
      </c>
    </row>
    <row r="128" spans="1:8" hidden="1" x14ac:dyDescent="0.3"/>
    <row r="129" spans="1:8" hidden="1" x14ac:dyDescent="0.3">
      <c r="A129" s="8" t="str">
        <f>Dist4</f>
        <v>blank</v>
      </c>
    </row>
    <row r="130" spans="1:8" hidden="1" x14ac:dyDescent="0.3">
      <c r="A130" t="str">
        <f>A115</f>
        <v>Wholesale</v>
      </c>
      <c r="C130" t="s">
        <v>17</v>
      </c>
      <c r="D130" s="107">
        <f>IF(LEFT($A$129,5)="blank",0,D53/'Input Global'!D$21)</f>
        <v>0</v>
      </c>
      <c r="E130" s="107">
        <f>IF(LEFT($A$129,5)="blank",0,E53/'Input Global'!E$21)</f>
        <v>0</v>
      </c>
      <c r="F130" s="107">
        <f>IF(LEFT($A$129,5)="blank",0,F53/'Input Global'!F$21)</f>
        <v>0</v>
      </c>
      <c r="G130" s="107">
        <f>IF(LEFT($A$129,5)="blank",0,G53/'Input Global'!G$21)</f>
        <v>0</v>
      </c>
      <c r="H130" s="107">
        <f>IF(LEFT($A$129,5)="blank",0,H53/'Input Global'!H$21)</f>
        <v>0</v>
      </c>
    </row>
    <row r="131" spans="1:8" hidden="1" x14ac:dyDescent="0.3">
      <c r="A131" t="str">
        <f t="shared" ref="A131:A141" si="15">A116</f>
        <v>Transmission</v>
      </c>
      <c r="C131" t="s">
        <v>17</v>
      </c>
      <c r="D131" s="107">
        <f>IF(LEFT($A$129,5)="blank",0,D54/'Input Global'!D$21)</f>
        <v>0</v>
      </c>
      <c r="E131" s="107">
        <f>IF(LEFT($A$129,5)="blank",0,E54/'Input Global'!E$21)</f>
        <v>0</v>
      </c>
      <c r="F131" s="107">
        <f>IF(LEFT($A$129,5)="blank",0,F54/'Input Global'!F$21)</f>
        <v>0</v>
      </c>
      <c r="G131" s="107">
        <f>IF(LEFT($A$129,5)="blank",0,G54/'Input Global'!G$21)</f>
        <v>0</v>
      </c>
      <c r="H131" s="107">
        <f>IF(LEFT($A$129,5)="blank",0,H54/'Input Global'!H$21)</f>
        <v>0</v>
      </c>
    </row>
    <row r="132" spans="1:8" hidden="1" x14ac:dyDescent="0.3">
      <c r="A132" t="str">
        <f t="shared" si="15"/>
        <v>Distribution</v>
      </c>
      <c r="C132" t="s">
        <v>17</v>
      </c>
      <c r="D132" s="107">
        <f>IF(LEFT($A$129,5)="blank",0,D55/'Input Global'!D$21)</f>
        <v>0</v>
      </c>
      <c r="E132" s="107">
        <f>IF(LEFT($A$129,5)="blank",0,E55/'Input Global'!E$21)</f>
        <v>0</v>
      </c>
      <c r="F132" s="107">
        <f>IF(LEFT($A$129,5)="blank",0,F55/'Input Global'!F$21)</f>
        <v>0</v>
      </c>
      <c r="G132" s="107">
        <f>IF(LEFT($A$129,5)="blank",0,G55/'Input Global'!G$21)</f>
        <v>0</v>
      </c>
      <c r="H132" s="107">
        <f>IF(LEFT($A$129,5)="blank",0,H55/'Input Global'!H$21)</f>
        <v>0</v>
      </c>
    </row>
    <row r="133" spans="1:8" hidden="1" x14ac:dyDescent="0.3">
      <c r="A133" t="str">
        <f t="shared" si="15"/>
        <v>Retail</v>
      </c>
      <c r="C133" t="s">
        <v>17</v>
      </c>
      <c r="D133" s="107">
        <f>IF(LEFT($A$129,5)="blank",0,D56/'Input Global'!D$21)</f>
        <v>0</v>
      </c>
      <c r="E133" s="107">
        <f>IF(LEFT($A$129,5)="blank",0,E56/'Input Global'!E$21)</f>
        <v>0</v>
      </c>
      <c r="F133" s="107">
        <f>IF(LEFT($A$129,5)="blank",0,F56/'Input Global'!F$21)</f>
        <v>0</v>
      </c>
      <c r="G133" s="107">
        <f>IF(LEFT($A$129,5)="blank",0,G56/'Input Global'!G$21)</f>
        <v>0</v>
      </c>
      <c r="H133" s="107">
        <f>IF(LEFT($A$129,5)="blank",0,H56/'Input Global'!H$21)</f>
        <v>0</v>
      </c>
    </row>
    <row r="134" spans="1:8" hidden="1" x14ac:dyDescent="0.3">
      <c r="A134" t="str">
        <f t="shared" si="15"/>
        <v>Retail and Residual</v>
      </c>
      <c r="C134" t="s">
        <v>17</v>
      </c>
      <c r="D134" s="107">
        <f>IF(LEFT($A$129,5)="blank",0,D57/'Input Global'!D$21)</f>
        <v>0</v>
      </c>
      <c r="E134" s="107">
        <f>IF(LEFT($A$129,5)="blank",0,E57/'Input Global'!E$21)</f>
        <v>0</v>
      </c>
      <c r="F134" s="107">
        <f>IF(LEFT($A$129,5)="blank",0,F57/'Input Global'!F$21)</f>
        <v>0</v>
      </c>
      <c r="G134" s="107">
        <f>IF(LEFT($A$129,5)="blank",0,G57/'Input Global'!G$21)</f>
        <v>0</v>
      </c>
      <c r="H134" s="107">
        <f>IF(LEFT($A$129,5)="blank",0,H57/'Input Global'!H$21)</f>
        <v>0</v>
      </c>
    </row>
    <row r="135" spans="1:8" hidden="1" x14ac:dyDescent="0.3">
      <c r="A135" t="str">
        <f t="shared" si="15"/>
        <v>Green Schemes</v>
      </c>
      <c r="C135" t="s">
        <v>17</v>
      </c>
      <c r="D135" s="103"/>
      <c r="E135" s="103"/>
      <c r="F135" s="103"/>
      <c r="G135" s="103"/>
      <c r="H135" s="103"/>
    </row>
    <row r="136" spans="1:8" hidden="1" x14ac:dyDescent="0.3">
      <c r="A136" s="11" t="str">
        <f t="shared" si="15"/>
        <v>Feed-in Tariffs</v>
      </c>
      <c r="C136" t="s">
        <v>17</v>
      </c>
      <c r="D136" s="107">
        <f>IF(LEFT($A$129,5)="blank",0,D59/'Input Global'!D$21)</f>
        <v>0</v>
      </c>
      <c r="E136" s="107">
        <f>IF(LEFT($A$129,5)="blank",0,E59/'Input Global'!E$21)</f>
        <v>0</v>
      </c>
      <c r="F136" s="107">
        <f>IF(LEFT($A$129,5)="blank",0,F59/'Input Global'!F$21)</f>
        <v>0</v>
      </c>
      <c r="G136" s="107">
        <f>IF(LEFT($A$129,5)="blank",0,G59/'Input Global'!G$21)</f>
        <v>0</v>
      </c>
      <c r="H136" s="107">
        <f>IF(LEFT($A$129,5)="blank",0,H59/'Input Global'!H$21)</f>
        <v>0</v>
      </c>
    </row>
    <row r="137" spans="1:8" hidden="1" x14ac:dyDescent="0.3">
      <c r="A137" s="11" t="str">
        <f t="shared" si="15"/>
        <v>Carbon costs</v>
      </c>
      <c r="C137" t="s">
        <v>17</v>
      </c>
      <c r="D137" s="107">
        <f>IF(LEFT($A$129,5)="blank",0,D60/'Input Global'!D$21)</f>
        <v>0</v>
      </c>
      <c r="E137" s="107">
        <f>IF(LEFT($A$129,5)="blank",0,E60/'Input Global'!E$21)</f>
        <v>0</v>
      </c>
      <c r="F137" s="107">
        <f>IF(LEFT($A$129,5)="blank",0,F60/'Input Global'!F$21)</f>
        <v>0</v>
      </c>
      <c r="G137" s="107">
        <f>IF(LEFT($A$129,5)="blank",0,G60/'Input Global'!G$21)</f>
        <v>0</v>
      </c>
      <c r="H137" s="107">
        <f>IF(LEFT($A$129,5)="blank",0,H60/'Input Global'!H$21)</f>
        <v>0</v>
      </c>
    </row>
    <row r="138" spans="1:8" hidden="1" x14ac:dyDescent="0.3">
      <c r="A138" s="11" t="str">
        <f t="shared" si="15"/>
        <v>Large Scale Renewable Energy Target</v>
      </c>
      <c r="C138" t="s">
        <v>17</v>
      </c>
      <c r="D138" s="107">
        <f>IF(LEFT($A$129,5)="blank",0,D61/'Input Global'!D$21)</f>
        <v>0</v>
      </c>
      <c r="E138" s="107">
        <f>IF(LEFT($A$129,5)="blank",0,E61/'Input Global'!E$21)</f>
        <v>0</v>
      </c>
      <c r="F138" s="107">
        <f>IF(LEFT($A$129,5)="blank",0,F61/'Input Global'!F$21)</f>
        <v>0</v>
      </c>
      <c r="G138" s="107">
        <f>IF(LEFT($A$129,5)="blank",0,G61/'Input Global'!G$21)</f>
        <v>0</v>
      </c>
      <c r="H138" s="107">
        <f>IF(LEFT($A$129,5)="blank",0,H61/'Input Global'!H$21)</f>
        <v>0</v>
      </c>
    </row>
    <row r="139" spans="1:8" hidden="1" x14ac:dyDescent="0.3">
      <c r="A139" s="11" t="str">
        <f t="shared" si="15"/>
        <v>Small Scale Renewable Energy Scheme</v>
      </c>
      <c r="C139" t="s">
        <v>17</v>
      </c>
      <c r="D139" s="107">
        <f>IF(LEFT($A$129,5)="blank",0,D62/'Input Global'!D$21)</f>
        <v>0</v>
      </c>
      <c r="E139" s="107">
        <f>IF(LEFT($A$129,5)="blank",0,E62/'Input Global'!E$21)</f>
        <v>0</v>
      </c>
      <c r="F139" s="107">
        <f>IF(LEFT($A$129,5)="blank",0,F62/'Input Global'!F$21)</f>
        <v>0</v>
      </c>
      <c r="G139" s="107">
        <f>IF(LEFT($A$129,5)="blank",0,G62/'Input Global'!G$21)</f>
        <v>0</v>
      </c>
      <c r="H139" s="107">
        <f>IF(LEFT($A$129,5)="blank",0,H62/'Input Global'!H$21)</f>
        <v>0</v>
      </c>
    </row>
    <row r="140" spans="1:8" hidden="1" x14ac:dyDescent="0.3">
      <c r="A140" s="11" t="str">
        <f t="shared" si="15"/>
        <v>Energy savings</v>
      </c>
      <c r="C140" t="s">
        <v>17</v>
      </c>
      <c r="D140" s="107">
        <f>IF(LEFT($A$129,5)="blank",0,D63/'Input Global'!D$21)</f>
        <v>0</v>
      </c>
      <c r="E140" s="107">
        <f>IF(LEFT($A$129,5)="blank",0,E63/'Input Global'!E$21)</f>
        <v>0</v>
      </c>
      <c r="F140" s="107">
        <f>IF(LEFT($A$129,5)="blank",0,F63/'Input Global'!F$21)</f>
        <v>0</v>
      </c>
      <c r="G140" s="107">
        <f>IF(LEFT($A$129,5)="blank",0,G63/'Input Global'!G$21)</f>
        <v>0</v>
      </c>
      <c r="H140" s="107">
        <f>IF(LEFT($A$129,5)="blank",0,H63/'Input Global'!H$21)</f>
        <v>0</v>
      </c>
    </row>
    <row r="141" spans="1:8" hidden="1" x14ac:dyDescent="0.3">
      <c r="A141" s="11" t="str">
        <f t="shared" si="15"/>
        <v>Blank</v>
      </c>
      <c r="C141" t="s">
        <v>17</v>
      </c>
      <c r="D141" s="107">
        <f>IF(LEFT($A$129,5)="blank",0,D64/'Input Global'!D$21)</f>
        <v>0</v>
      </c>
      <c r="E141" s="107">
        <f>IF(LEFT($A$129,5)="blank",0,E64/'Input Global'!E$21)</f>
        <v>0</v>
      </c>
      <c r="F141" s="107">
        <f>IF(LEFT($A$129,5)="blank",0,F64/'Input Global'!F$21)</f>
        <v>0</v>
      </c>
      <c r="G141" s="107">
        <f>IF(LEFT($A$129,5)="blank",0,G64/'Input Global'!G$21)</f>
        <v>0</v>
      </c>
      <c r="H141" s="107">
        <f>IF(LEFT($A$129,5)="blank",0,H64/'Input Global'!H$21)</f>
        <v>0</v>
      </c>
    </row>
    <row r="142" spans="1:8" hidden="1" x14ac:dyDescent="0.3">
      <c r="A142" s="12" t="s">
        <v>61</v>
      </c>
      <c r="B142" s="12"/>
      <c r="C142" s="12" t="s">
        <v>17</v>
      </c>
      <c r="D142" s="107">
        <f>SUM(D130:D141)</f>
        <v>0</v>
      </c>
      <c r="E142" s="107">
        <f t="shared" ref="E142:H142" si="16">SUM(E130:E141)</f>
        <v>0</v>
      </c>
      <c r="F142" s="107">
        <f t="shared" si="16"/>
        <v>0</v>
      </c>
      <c r="G142" s="107">
        <f t="shared" si="16"/>
        <v>0</v>
      </c>
      <c r="H142" s="107">
        <f t="shared" si="16"/>
        <v>0</v>
      </c>
    </row>
    <row r="143" spans="1:8" hidden="1" x14ac:dyDescent="0.3"/>
    <row r="144" spans="1:8" hidden="1" x14ac:dyDescent="0.3">
      <c r="A144" s="8" t="str">
        <f>Dist5</f>
        <v>blank</v>
      </c>
    </row>
    <row r="145" spans="1:8" hidden="1" x14ac:dyDescent="0.3">
      <c r="A145" t="str">
        <f>A130</f>
        <v>Wholesale</v>
      </c>
      <c r="C145" t="s">
        <v>17</v>
      </c>
      <c r="D145" s="107">
        <f>IF(LEFT($A$144,5)="blank",0,D68/'Input Global'!D$22)</f>
        <v>0</v>
      </c>
      <c r="E145" s="107">
        <f>IF(LEFT($A$144,5)="blank",0,E68/'Input Global'!E$22)</f>
        <v>0</v>
      </c>
      <c r="F145" s="107">
        <f>IF(LEFT($A$144,5)="blank",0,F68/'Input Global'!F$22)</f>
        <v>0</v>
      </c>
      <c r="G145" s="107">
        <f>IF(LEFT($A$144,5)="blank",0,G68/'Input Global'!G$22)</f>
        <v>0</v>
      </c>
      <c r="H145" s="107">
        <f>IF(LEFT($A$144,5)="blank",0,H68/'Input Global'!H$22)</f>
        <v>0</v>
      </c>
    </row>
    <row r="146" spans="1:8" hidden="1" x14ac:dyDescent="0.3">
      <c r="A146" t="str">
        <f t="shared" ref="A146:A156" si="17">A131</f>
        <v>Transmission</v>
      </c>
      <c r="C146" t="s">
        <v>17</v>
      </c>
      <c r="D146" s="107">
        <f>IF(LEFT($A$144,5)="blank",0,D69/'Input Global'!D$22)</f>
        <v>0</v>
      </c>
      <c r="E146" s="107">
        <f>IF(LEFT($A$144,5)="blank",0,E69/'Input Global'!E$22)</f>
        <v>0</v>
      </c>
      <c r="F146" s="107">
        <f>IF(LEFT($A$144,5)="blank",0,F69/'Input Global'!F$22)</f>
        <v>0</v>
      </c>
      <c r="G146" s="107">
        <f>IF(LEFT($A$144,5)="blank",0,G69/'Input Global'!G$22)</f>
        <v>0</v>
      </c>
      <c r="H146" s="107">
        <f>IF(LEFT($A$144,5)="blank",0,H69/'Input Global'!H$22)</f>
        <v>0</v>
      </c>
    </row>
    <row r="147" spans="1:8" hidden="1" x14ac:dyDescent="0.3">
      <c r="A147" t="str">
        <f t="shared" si="17"/>
        <v>Distribution</v>
      </c>
      <c r="C147" t="s">
        <v>17</v>
      </c>
      <c r="D147" s="107">
        <f>IF(LEFT($A$144,5)="blank",0,D70/'Input Global'!D$22)</f>
        <v>0</v>
      </c>
      <c r="E147" s="107">
        <f>IF(LEFT($A$144,5)="blank",0,E70/'Input Global'!E$22)</f>
        <v>0</v>
      </c>
      <c r="F147" s="107">
        <f>IF(LEFT($A$144,5)="blank",0,F70/'Input Global'!F$22)</f>
        <v>0</v>
      </c>
      <c r="G147" s="107">
        <f>IF(LEFT($A$144,5)="blank",0,G70/'Input Global'!G$22)</f>
        <v>0</v>
      </c>
      <c r="H147" s="107">
        <f>IF(LEFT($A$144,5)="blank",0,H70/'Input Global'!H$22)</f>
        <v>0</v>
      </c>
    </row>
    <row r="148" spans="1:8" hidden="1" x14ac:dyDescent="0.3">
      <c r="A148" t="str">
        <f t="shared" si="17"/>
        <v>Retail</v>
      </c>
      <c r="C148" t="s">
        <v>17</v>
      </c>
      <c r="D148" s="107">
        <f>IF(LEFT($A$144,5)="blank",0,D71/'Input Global'!D$22)</f>
        <v>0</v>
      </c>
      <c r="E148" s="107">
        <f>IF(LEFT($A$144,5)="blank",0,E71/'Input Global'!E$22)</f>
        <v>0</v>
      </c>
      <c r="F148" s="107">
        <f>IF(LEFT($A$144,5)="blank",0,F71/'Input Global'!F$22)</f>
        <v>0</v>
      </c>
      <c r="G148" s="107">
        <f>IF(LEFT($A$144,5)="blank",0,G71/'Input Global'!G$22)</f>
        <v>0</v>
      </c>
      <c r="H148" s="107">
        <f>IF(LEFT($A$144,5)="blank",0,H71/'Input Global'!H$22)</f>
        <v>0</v>
      </c>
    </row>
    <row r="149" spans="1:8" hidden="1" x14ac:dyDescent="0.3">
      <c r="A149" t="str">
        <f t="shared" si="17"/>
        <v>Retail and Residual</v>
      </c>
      <c r="C149" t="s">
        <v>17</v>
      </c>
      <c r="D149" s="107">
        <f>IF(LEFT($A$144,5)="blank",0,D72/'Input Global'!D$22)</f>
        <v>0</v>
      </c>
      <c r="E149" s="107">
        <f>IF(LEFT($A$144,5)="blank",0,E72/'Input Global'!E$22)</f>
        <v>0</v>
      </c>
      <c r="F149" s="107">
        <f>IF(LEFT($A$144,5)="blank",0,F72/'Input Global'!F$22)</f>
        <v>0</v>
      </c>
      <c r="G149" s="107">
        <f>IF(LEFT($A$144,5)="blank",0,G72/'Input Global'!G$22)</f>
        <v>0</v>
      </c>
      <c r="H149" s="107">
        <f>IF(LEFT($A$144,5)="blank",0,H72/'Input Global'!H$22)</f>
        <v>0</v>
      </c>
    </row>
    <row r="150" spans="1:8" hidden="1" x14ac:dyDescent="0.3">
      <c r="A150" t="str">
        <f t="shared" si="17"/>
        <v>Green Schemes</v>
      </c>
      <c r="C150" t="s">
        <v>17</v>
      </c>
      <c r="D150" s="103"/>
      <c r="E150" s="103"/>
      <c r="F150" s="103"/>
      <c r="G150" s="103"/>
      <c r="H150" s="103"/>
    </row>
    <row r="151" spans="1:8" hidden="1" x14ac:dyDescent="0.3">
      <c r="A151" s="11" t="str">
        <f t="shared" si="17"/>
        <v>Feed-in Tariffs</v>
      </c>
      <c r="C151" t="s">
        <v>17</v>
      </c>
      <c r="D151" s="107">
        <f>IF(LEFT($A$144,5)="blank",0,D74/'Input Global'!D$22)</f>
        <v>0</v>
      </c>
      <c r="E151" s="107">
        <f>IF(LEFT($A$144,5)="blank",0,E74/'Input Global'!E$22)</f>
        <v>0</v>
      </c>
      <c r="F151" s="107">
        <f>IF(LEFT($A$144,5)="blank",0,F74/'Input Global'!F$22)</f>
        <v>0</v>
      </c>
      <c r="G151" s="107">
        <f>IF(LEFT($A$144,5)="blank",0,G74/'Input Global'!G$22)</f>
        <v>0</v>
      </c>
      <c r="H151" s="107">
        <f>IF(LEFT($A$144,5)="blank",0,H74/'Input Global'!H$22)</f>
        <v>0</v>
      </c>
    </row>
    <row r="152" spans="1:8" hidden="1" x14ac:dyDescent="0.3">
      <c r="A152" s="11" t="str">
        <f t="shared" si="17"/>
        <v>Carbon costs</v>
      </c>
      <c r="C152" t="s">
        <v>17</v>
      </c>
      <c r="D152" s="107">
        <f>IF(LEFT($A$144,5)="blank",0,D75/'Input Global'!D$22)</f>
        <v>0</v>
      </c>
      <c r="E152" s="107">
        <f>IF(LEFT($A$144,5)="blank",0,E75/'Input Global'!E$22)</f>
        <v>0</v>
      </c>
      <c r="F152" s="107">
        <f>IF(LEFT($A$144,5)="blank",0,F75/'Input Global'!F$22)</f>
        <v>0</v>
      </c>
      <c r="G152" s="107">
        <f>IF(LEFT($A$144,5)="blank",0,G75/'Input Global'!G$22)</f>
        <v>0</v>
      </c>
      <c r="H152" s="107">
        <f>IF(LEFT($A$144,5)="blank",0,H75/'Input Global'!H$22)</f>
        <v>0</v>
      </c>
    </row>
    <row r="153" spans="1:8" hidden="1" x14ac:dyDescent="0.3">
      <c r="A153" s="11" t="str">
        <f t="shared" si="17"/>
        <v>Large Scale Renewable Energy Target</v>
      </c>
      <c r="C153" t="s">
        <v>17</v>
      </c>
      <c r="D153" s="107">
        <f>IF(LEFT($A$144,5)="blank",0,D76/'Input Global'!D$22)</f>
        <v>0</v>
      </c>
      <c r="E153" s="107">
        <f>IF(LEFT($A$144,5)="blank",0,E76/'Input Global'!E$22)</f>
        <v>0</v>
      </c>
      <c r="F153" s="107">
        <f>IF(LEFT($A$144,5)="blank",0,F76/'Input Global'!F$22)</f>
        <v>0</v>
      </c>
      <c r="G153" s="107">
        <f>IF(LEFT($A$144,5)="blank",0,G76/'Input Global'!G$22)</f>
        <v>0</v>
      </c>
      <c r="H153" s="107">
        <f>IF(LEFT($A$144,5)="blank",0,H76/'Input Global'!H$22)</f>
        <v>0</v>
      </c>
    </row>
    <row r="154" spans="1:8" hidden="1" x14ac:dyDescent="0.3">
      <c r="A154" s="11" t="str">
        <f t="shared" si="17"/>
        <v>Small Scale Renewable Energy Scheme</v>
      </c>
      <c r="C154" t="s">
        <v>17</v>
      </c>
      <c r="D154" s="107">
        <f>IF(LEFT($A$144,5)="blank",0,D77/'Input Global'!D$22)</f>
        <v>0</v>
      </c>
      <c r="E154" s="107">
        <f>IF(LEFT($A$144,5)="blank",0,E77/'Input Global'!E$22)</f>
        <v>0</v>
      </c>
      <c r="F154" s="107">
        <f>IF(LEFT($A$144,5)="blank",0,F77/'Input Global'!F$22)</f>
        <v>0</v>
      </c>
      <c r="G154" s="107">
        <f>IF(LEFT($A$144,5)="blank",0,G77/'Input Global'!G$22)</f>
        <v>0</v>
      </c>
      <c r="H154" s="107">
        <f>IF(LEFT($A$144,5)="blank",0,H77/'Input Global'!H$22)</f>
        <v>0</v>
      </c>
    </row>
    <row r="155" spans="1:8" hidden="1" x14ac:dyDescent="0.3">
      <c r="A155" s="11" t="str">
        <f t="shared" si="17"/>
        <v>Energy savings</v>
      </c>
      <c r="C155" t="s">
        <v>17</v>
      </c>
      <c r="D155" s="107">
        <f>IF(LEFT($A$144,5)="blank",0,D78/'Input Global'!D$22)</f>
        <v>0</v>
      </c>
      <c r="E155" s="107">
        <f>IF(LEFT($A$144,5)="blank",0,E78/'Input Global'!E$22)</f>
        <v>0</v>
      </c>
      <c r="F155" s="107">
        <f>IF(LEFT($A$144,5)="blank",0,F78/'Input Global'!F$22)</f>
        <v>0</v>
      </c>
      <c r="G155" s="107">
        <f>IF(LEFT($A$144,5)="blank",0,G78/'Input Global'!G$22)</f>
        <v>0</v>
      </c>
      <c r="H155" s="107">
        <f>IF(LEFT($A$144,5)="blank",0,H78/'Input Global'!H$22)</f>
        <v>0</v>
      </c>
    </row>
    <row r="156" spans="1:8" hidden="1" x14ac:dyDescent="0.3">
      <c r="A156" s="11" t="str">
        <f t="shared" si="17"/>
        <v>Blank</v>
      </c>
      <c r="C156" t="s">
        <v>17</v>
      </c>
      <c r="D156" s="107">
        <f>IF(LEFT($A$144,5)="blank",0,D79/'Input Global'!D$22)</f>
        <v>0</v>
      </c>
      <c r="E156" s="107">
        <f>IF(LEFT($A$144,5)="blank",0,E79/'Input Global'!E$22)</f>
        <v>0</v>
      </c>
      <c r="F156" s="107">
        <f>IF(LEFT($A$144,5)="blank",0,F79/'Input Global'!F$22)</f>
        <v>0</v>
      </c>
      <c r="G156" s="107">
        <f>IF(LEFT($A$144,5)="blank",0,G79/'Input Global'!G$22)</f>
        <v>0</v>
      </c>
      <c r="H156" s="107">
        <f>IF(LEFT($A$144,5)="blank",0,H79/'Input Global'!H$22)</f>
        <v>0</v>
      </c>
    </row>
    <row r="157" spans="1:8" hidden="1" x14ac:dyDescent="0.3">
      <c r="A157" s="12" t="s">
        <v>61</v>
      </c>
      <c r="B157" s="12"/>
      <c r="C157" s="12" t="s">
        <v>17</v>
      </c>
      <c r="D157" s="107">
        <f>SUM(D145:D156)</f>
        <v>0</v>
      </c>
      <c r="E157" s="107">
        <f t="shared" ref="E157:H157" si="18">SUM(E145:E156)</f>
        <v>0</v>
      </c>
      <c r="F157" s="107">
        <f t="shared" si="18"/>
        <v>0</v>
      </c>
      <c r="G157" s="107">
        <f t="shared" si="18"/>
        <v>0</v>
      </c>
      <c r="H157" s="107">
        <f t="shared" si="18"/>
        <v>0</v>
      </c>
    </row>
    <row r="159" spans="1:8" ht="18.75" x14ac:dyDescent="0.3">
      <c r="A159" s="1" t="s">
        <v>74</v>
      </c>
    </row>
    <row r="160" spans="1:8" x14ac:dyDescent="0.3">
      <c r="A160" t="str">
        <f>Dist1</f>
        <v xml:space="preserve">Ausgrid </v>
      </c>
      <c r="B160" t="s">
        <v>43</v>
      </c>
      <c r="C160" t="s">
        <v>29</v>
      </c>
      <c r="D160" s="108">
        <f>'Input Global'!D25/'Input Global'!D$30</f>
        <v>0.52009242680069001</v>
      </c>
      <c r="E160" s="108">
        <f>'Input Global'!E25/'Input Global'!E$30</f>
        <v>0.52009242680069001</v>
      </c>
      <c r="F160" s="108">
        <f>'Input Global'!F25/'Input Global'!F$30</f>
        <v>0.52009242680069001</v>
      </c>
      <c r="G160" s="108">
        <f>'Input Global'!G25/'Input Global'!G$30</f>
        <v>0.52009242680069001</v>
      </c>
      <c r="H160" s="108">
        <f>'Input Global'!H25/'Input Global'!H$30</f>
        <v>0.52009242680069001</v>
      </c>
    </row>
    <row r="161" spans="1:8" x14ac:dyDescent="0.3">
      <c r="A161" t="str">
        <f>Dist2</f>
        <v>Essential</v>
      </c>
      <c r="B161" t="s">
        <v>43</v>
      </c>
      <c r="C161" t="s">
        <v>29</v>
      </c>
      <c r="D161" s="108">
        <f>'Input Global'!D26/'Input Global'!D$30</f>
        <v>0.22405504769188242</v>
      </c>
      <c r="E161" s="108">
        <f>'Input Global'!E26/'Input Global'!E$30</f>
        <v>0.22405504769188242</v>
      </c>
      <c r="F161" s="108">
        <f>'Input Global'!F26/'Input Global'!F$30</f>
        <v>0.22405504769188242</v>
      </c>
      <c r="G161" s="108">
        <f>'Input Global'!G26/'Input Global'!G$30</f>
        <v>0.22405504769188242</v>
      </c>
      <c r="H161" s="108">
        <f>'Input Global'!H26/'Input Global'!H$30</f>
        <v>0.22405504769188242</v>
      </c>
    </row>
    <row r="162" spans="1:8" x14ac:dyDescent="0.3">
      <c r="A162" t="str">
        <f>Dist3</f>
        <v>Endeavour</v>
      </c>
      <c r="B162" t="s">
        <v>43</v>
      </c>
      <c r="C162" t="s">
        <v>29</v>
      </c>
      <c r="D162" s="108">
        <f>'Input Global'!D27/'Input Global'!D$30</f>
        <v>0.25585252550742754</v>
      </c>
      <c r="E162" s="108">
        <f>'Input Global'!E27/'Input Global'!E$30</f>
        <v>0.25585252550742754</v>
      </c>
      <c r="F162" s="108">
        <f>'Input Global'!F27/'Input Global'!F$30</f>
        <v>0.25585252550742754</v>
      </c>
      <c r="G162" s="108">
        <f>'Input Global'!G27/'Input Global'!G$30</f>
        <v>0.25585252550742754</v>
      </c>
      <c r="H162" s="108">
        <f>'Input Global'!H27/'Input Global'!H$30</f>
        <v>0.25585252550742754</v>
      </c>
    </row>
    <row r="163" spans="1:8" hidden="1" x14ac:dyDescent="0.3">
      <c r="A163" t="str">
        <f>Dist4</f>
        <v>blank</v>
      </c>
      <c r="B163" t="s">
        <v>43</v>
      </c>
      <c r="C163" t="s">
        <v>29</v>
      </c>
      <c r="D163" s="108">
        <f>'Input Global'!D28/'Input Global'!D$30</f>
        <v>0</v>
      </c>
      <c r="E163" s="108">
        <f>'Input Global'!E28/'Input Global'!E$30</f>
        <v>0</v>
      </c>
      <c r="F163" s="108">
        <f>'Input Global'!F28/'Input Global'!F$30</f>
        <v>0</v>
      </c>
      <c r="G163" s="108">
        <f>'Input Global'!G28/'Input Global'!G$30</f>
        <v>0</v>
      </c>
      <c r="H163" s="108">
        <f>'Input Global'!H28/'Input Global'!H$30</f>
        <v>0</v>
      </c>
    </row>
    <row r="164" spans="1:8" hidden="1" x14ac:dyDescent="0.3">
      <c r="A164" t="str">
        <f>Dist5</f>
        <v>blank</v>
      </c>
      <c r="B164" t="s">
        <v>43</v>
      </c>
      <c r="C164" t="s">
        <v>29</v>
      </c>
      <c r="D164" s="108">
        <f>'Input Global'!D29/'Input Global'!D$30</f>
        <v>0</v>
      </c>
      <c r="E164" s="108">
        <f>'Input Global'!E29/'Input Global'!E$30</f>
        <v>0</v>
      </c>
      <c r="F164" s="108">
        <f>'Input Global'!F29/'Input Global'!F$30</f>
        <v>0</v>
      </c>
      <c r="G164" s="108">
        <f>'Input Global'!G29/'Input Global'!G$30</f>
        <v>0</v>
      </c>
      <c r="H164" s="108">
        <f>'Input Global'!H29/'Input Global'!H$30</f>
        <v>0</v>
      </c>
    </row>
    <row r="165" spans="1:8" hidden="1" x14ac:dyDescent="0.3"/>
  </sheetData>
  <sheetProtection password="D9A8" sheet="1" objects="1" scenarios="1"/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  <rowBreaks count="2" manualBreakCount="2">
    <brk id="66" max="8" man="1"/>
    <brk id="12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50</vt:i4>
      </vt:variant>
    </vt:vector>
  </HeadingPairs>
  <TitlesOfParts>
    <vt:vector size="60" baseType="lpstr">
      <vt:lpstr>Index</vt:lpstr>
      <vt:lpstr>Input Global</vt:lpstr>
      <vt:lpstr>Input Frontier</vt:lpstr>
      <vt:lpstr>Input General</vt:lpstr>
      <vt:lpstr>Calc (Jurisdiction)</vt:lpstr>
      <vt:lpstr>Calc (LRMC Planning case)</vt:lpstr>
      <vt:lpstr>Calc (LRMC Slow Rate)</vt:lpstr>
      <vt:lpstr>Calc (Market Planning Case)</vt:lpstr>
      <vt:lpstr>Calc (Market Slow Rate)</vt:lpstr>
      <vt:lpstr>Output</vt:lpstr>
      <vt:lpstr>Dist1</vt:lpstr>
      <vt:lpstr>Dist1Frontier</vt:lpstr>
      <vt:lpstr>dist1LRET</vt:lpstr>
      <vt:lpstr>dist1Retail</vt:lpstr>
      <vt:lpstr>dist1scheme1</vt:lpstr>
      <vt:lpstr>dist1scheme2</vt:lpstr>
      <vt:lpstr>dist1wholesale</vt:lpstr>
      <vt:lpstr>Dist1X</vt:lpstr>
      <vt:lpstr>Dist2</vt:lpstr>
      <vt:lpstr>dist2frontier</vt:lpstr>
      <vt:lpstr>Dist2LRET</vt:lpstr>
      <vt:lpstr>dist2Retail</vt:lpstr>
      <vt:lpstr>dist2scheme1</vt:lpstr>
      <vt:lpstr>dist2scheme2</vt:lpstr>
      <vt:lpstr>dist2wholesale</vt:lpstr>
      <vt:lpstr>Dist2X</vt:lpstr>
      <vt:lpstr>Dist3</vt:lpstr>
      <vt:lpstr>dist3frontier</vt:lpstr>
      <vt:lpstr>Dist3LRET</vt:lpstr>
      <vt:lpstr>dist3retail</vt:lpstr>
      <vt:lpstr>dist3scheme1</vt:lpstr>
      <vt:lpstr>dist3scheme2</vt:lpstr>
      <vt:lpstr>dist3wholesale</vt:lpstr>
      <vt:lpstr>Dist3X</vt:lpstr>
      <vt:lpstr>Dist4</vt:lpstr>
      <vt:lpstr>Dist4X</vt:lpstr>
      <vt:lpstr>Dist5</vt:lpstr>
      <vt:lpstr>Dist5X</vt:lpstr>
      <vt:lpstr>inflation</vt:lpstr>
      <vt:lpstr>'Calc (Jurisdiction)'!Print_Area</vt:lpstr>
      <vt:lpstr>'Calc (LRMC Planning case)'!Print_Area</vt:lpstr>
      <vt:lpstr>'Calc (LRMC Slow Rate)'!Print_Area</vt:lpstr>
      <vt:lpstr>'Calc (Market Planning Case)'!Print_Area</vt:lpstr>
      <vt:lpstr>'Calc (Market Slow Rate)'!Print_Area</vt:lpstr>
      <vt:lpstr>Index!Print_Area</vt:lpstr>
      <vt:lpstr>'Input Global'!Print_Area</vt:lpstr>
      <vt:lpstr>Output!Print_Area</vt:lpstr>
      <vt:lpstr>'Calc (Jurisdiction)'!Print_Titles</vt:lpstr>
      <vt:lpstr>'Calc (LRMC Planning case)'!Print_Titles</vt:lpstr>
      <vt:lpstr>'Calc (LRMC Slow Rate)'!Print_Titles</vt:lpstr>
      <vt:lpstr>'Calc (Market Planning Case)'!Print_Titles</vt:lpstr>
      <vt:lpstr>'Calc (Market Slow Rate)'!Print_Titles</vt:lpstr>
      <vt:lpstr>Index!Print_Titles</vt:lpstr>
      <vt:lpstr>'Input General'!Print_Titles</vt:lpstr>
      <vt:lpstr>'Input Global'!Print_Titles</vt:lpstr>
      <vt:lpstr>Output!Print_Titles</vt:lpstr>
      <vt:lpstr>Scheme1</vt:lpstr>
      <vt:lpstr>Scheme2</vt:lpstr>
      <vt:lpstr>TNSP</vt:lpstr>
      <vt:lpstr>Transmission</vt:lpstr>
    </vt:vector>
  </TitlesOfParts>
  <Company>Australian Energy Market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Allen</dc:creator>
  <cp:lastModifiedBy>Mark Allen</cp:lastModifiedBy>
  <cp:lastPrinted>2012-11-19T00:21:37Z</cp:lastPrinted>
  <dcterms:created xsi:type="dcterms:W3CDTF">2012-09-12T05:37:03Z</dcterms:created>
  <dcterms:modified xsi:type="dcterms:W3CDTF">2013-06-20T07:24:12Z</dcterms:modified>
</cp:coreProperties>
</file>