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205" windowHeight="10215" activeTab="5"/>
  </bookViews>
  <sheets>
    <sheet name="Index" sheetId="6" r:id="rId1"/>
    <sheet name="Input Global" sheetId="4" r:id="rId2"/>
    <sheet name="Input Frontier" sheetId="21" state="hidden" r:id="rId3"/>
    <sheet name="Input General" sheetId="5" r:id="rId4"/>
    <sheet name="Calc (Jurisdiction)" sheetId="1" r:id="rId5"/>
    <sheet name="Output" sheetId="2" r:id="rId6"/>
  </sheets>
  <externalReferences>
    <externalReference r:id="rId7"/>
  </externalReferences>
  <definedNames>
    <definedName name="Dist1">'Input Global'!$B$8</definedName>
    <definedName name="Dist1Frontier">'Input General'!$A$412:$H$416</definedName>
    <definedName name="dist1LRET">'Input General'!$A$484:$H$488</definedName>
    <definedName name="dist1Retail">'Input General'!$A$351:$H$360</definedName>
    <definedName name="dist1scheme1">'Input General'!$A$527:$H$531</definedName>
    <definedName name="dist1scheme2">'Input General'!$A$563:$H$567</definedName>
    <definedName name="dist1wholesale">'Input General'!$A$288:$H$292</definedName>
    <definedName name="Dist1X">'Input Global'!$H$41</definedName>
    <definedName name="Dist2">'Input Global'!$B$9</definedName>
    <definedName name="dist2frontier">'Input General'!$A$419:$H$423</definedName>
    <definedName name="Dist2LRET">'Input General'!$A$491:$H$495</definedName>
    <definedName name="dist2Retail">'Input General'!$A$363:$H$371</definedName>
    <definedName name="dist2scheme1">'Input General'!$A$534:$H$538</definedName>
    <definedName name="dist2scheme2">'Input General'!$A$570:$H$574</definedName>
    <definedName name="dist2wholesale">'Input General'!$A$294:$H$298</definedName>
    <definedName name="Dist2X">'Input Global'!$H$42</definedName>
    <definedName name="Dist3">'Input Global'!$B$10</definedName>
    <definedName name="dist3frontier">'Input General'!$A$426:$H$430</definedName>
    <definedName name="Dist3LRET">'Input General'!$A$498:$H$502</definedName>
    <definedName name="dist3retail">'Input General'!$A$374:$H$382</definedName>
    <definedName name="dist3scheme1">'Input General'!$A$541:$H$545</definedName>
    <definedName name="dist3scheme2">'Input General'!$A$577:$H$581</definedName>
    <definedName name="dist3wholesale">'Input General'!$A$300:$H$304</definedName>
    <definedName name="Dist3X">'Input Global'!$H$43</definedName>
    <definedName name="Dist4">'Input Global'!$B$11</definedName>
    <definedName name="Dist4frontier">'Input General'!$A$433:$H$437</definedName>
    <definedName name="Dist4LRET">'Input General'!$A$505:$H$509</definedName>
    <definedName name="dist4retail">'Input General'!$A$385:$H$393</definedName>
    <definedName name="dist4scheme1">'Input General'!$A$548:$H$552</definedName>
    <definedName name="dist4scheme2">'Input General'!$A$584:$H$588</definedName>
    <definedName name="dist4wholesale">'Input General'!$A$306:$H$310</definedName>
    <definedName name="Dist4X">'Input Global'!$H$44</definedName>
    <definedName name="Dist5">'Input Global'!$B$12</definedName>
    <definedName name="dist5frontier">'Input General'!$A$440:$H$444</definedName>
    <definedName name="Dist5LRET">'Input General'!$A$512:$H$516</definedName>
    <definedName name="dist5retail">'Input General'!$A$396:$H$404</definedName>
    <definedName name="dist5scheme1">'Input General'!$A$555:$H$559</definedName>
    <definedName name="dist5scheme2">'Input General'!$A$591:$H$595</definedName>
    <definedName name="dist5wholesale">'Input General'!$A$312:$H$316</definedName>
    <definedName name="Dist5X">'Input Global'!$H$45</definedName>
    <definedName name="inflation">'Input Global'!$G$15</definedName>
    <definedName name="margin">'[1]NSW Retail Input'!$C$3</definedName>
    <definedName name="_xlnm.Print_Area" localSheetId="4">'Calc (Jurisdiction)'!$A$1:$I$164</definedName>
    <definedName name="_xlnm.Print_Area" localSheetId="0">Index!$A$1:$I$31</definedName>
    <definedName name="_xlnm.Print_Area" localSheetId="1">'Input Global'!$A$1:$I$65</definedName>
    <definedName name="_xlnm.Print_Area" localSheetId="5">Output!$A$1:$H$37</definedName>
    <definedName name="_xlnm.Print_Titles" localSheetId="4">'Calc (Jurisdiction)'!$1:$4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5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G786" i="5" l="1"/>
  <c r="H448" i="5" s="1"/>
  <c r="G783" i="5"/>
  <c r="H412" i="5" s="1"/>
  <c r="G782" i="5"/>
  <c r="H782" i="5" s="1"/>
  <c r="F786" i="5"/>
  <c r="F783" i="5"/>
  <c r="E783" i="5"/>
  <c r="F782" i="5"/>
  <c r="E782" i="5"/>
  <c r="G652" i="5" l="1"/>
  <c r="F652" i="5"/>
  <c r="E652" i="5"/>
  <c r="A99" i="1" l="1"/>
  <c r="D607" i="5" l="1"/>
  <c r="B1" i="6" l="1"/>
  <c r="H4" i="2" l="1"/>
  <c r="G4" i="2"/>
  <c r="F4" i="2"/>
  <c r="E4" i="2"/>
  <c r="H4" i="21"/>
  <c r="A61" i="4" l="1"/>
  <c r="A31" i="5" l="1"/>
  <c r="A25" i="5"/>
  <c r="A19" i="5"/>
  <c r="A13" i="5"/>
  <c r="A7" i="5"/>
  <c r="A157" i="5"/>
  <c r="A189" i="5"/>
  <c r="A137" i="5"/>
  <c r="A130" i="5"/>
  <c r="A125" i="5"/>
  <c r="A120" i="5"/>
  <c r="A115" i="5"/>
  <c r="A110" i="5"/>
  <c r="A411" i="5"/>
  <c r="H404" i="5"/>
  <c r="G404" i="5"/>
  <c r="F404" i="5"/>
  <c r="E404" i="5"/>
  <c r="D404" i="5"/>
  <c r="H403" i="5"/>
  <c r="G403" i="5"/>
  <c r="F403" i="5"/>
  <c r="E403" i="5"/>
  <c r="D403" i="5"/>
  <c r="H402" i="5"/>
  <c r="G402" i="5"/>
  <c r="F402" i="5"/>
  <c r="E402" i="5"/>
  <c r="D402" i="5"/>
  <c r="H401" i="5"/>
  <c r="G401" i="5"/>
  <c r="F401" i="5"/>
  <c r="E401" i="5"/>
  <c r="D401" i="5"/>
  <c r="H400" i="5"/>
  <c r="G400" i="5"/>
  <c r="E400" i="5"/>
  <c r="D400" i="5"/>
  <c r="H399" i="5"/>
  <c r="G399" i="5"/>
  <c r="F399" i="5"/>
  <c r="E399" i="5"/>
  <c r="D399" i="5"/>
  <c r="H398" i="5"/>
  <c r="G398" i="5"/>
  <c r="F398" i="5"/>
  <c r="E398" i="5"/>
  <c r="D398" i="5"/>
  <c r="H397" i="5"/>
  <c r="G397" i="5"/>
  <c r="F397" i="5"/>
  <c r="E397" i="5"/>
  <c r="D397" i="5"/>
  <c r="F396" i="5"/>
  <c r="E396" i="5"/>
  <c r="D396" i="5"/>
  <c r="H393" i="5"/>
  <c r="G393" i="5"/>
  <c r="F393" i="5"/>
  <c r="E393" i="5"/>
  <c r="D393" i="5"/>
  <c r="H392" i="5"/>
  <c r="G392" i="5"/>
  <c r="F392" i="5"/>
  <c r="E392" i="5"/>
  <c r="D392" i="5"/>
  <c r="H391" i="5"/>
  <c r="G391" i="5"/>
  <c r="F391" i="5"/>
  <c r="E391" i="5"/>
  <c r="D391" i="5"/>
  <c r="H390" i="5"/>
  <c r="G390" i="5"/>
  <c r="F390" i="5"/>
  <c r="E390" i="5"/>
  <c r="D390" i="5"/>
  <c r="H389" i="5"/>
  <c r="G389" i="5"/>
  <c r="E389" i="5"/>
  <c r="D389" i="5"/>
  <c r="H388" i="5"/>
  <c r="G388" i="5"/>
  <c r="F388" i="5"/>
  <c r="E388" i="5"/>
  <c r="D388" i="5"/>
  <c r="H387" i="5"/>
  <c r="G387" i="5"/>
  <c r="F387" i="5"/>
  <c r="E387" i="5"/>
  <c r="D387" i="5"/>
  <c r="H386" i="5"/>
  <c r="G386" i="5"/>
  <c r="F386" i="5"/>
  <c r="E386" i="5"/>
  <c r="D386" i="5"/>
  <c r="F385" i="5"/>
  <c r="E385" i="5"/>
  <c r="D385" i="5"/>
  <c r="H382" i="5"/>
  <c r="G382" i="5"/>
  <c r="F382" i="5"/>
  <c r="E382" i="5"/>
  <c r="D382" i="5"/>
  <c r="H381" i="5"/>
  <c r="G381" i="5"/>
  <c r="F381" i="5"/>
  <c r="E381" i="5"/>
  <c r="D381" i="5"/>
  <c r="H380" i="5"/>
  <c r="G380" i="5"/>
  <c r="F380" i="5"/>
  <c r="E380" i="5"/>
  <c r="D380" i="5"/>
  <c r="H379" i="5"/>
  <c r="G379" i="5"/>
  <c r="F379" i="5"/>
  <c r="E379" i="5"/>
  <c r="D379" i="5"/>
  <c r="H378" i="5"/>
  <c r="G378" i="5"/>
  <c r="E378" i="5"/>
  <c r="D378" i="5"/>
  <c r="H377" i="5"/>
  <c r="G377" i="5"/>
  <c r="F377" i="5"/>
  <c r="E377" i="5"/>
  <c r="D377" i="5"/>
  <c r="H376" i="5"/>
  <c r="G376" i="5"/>
  <c r="F376" i="5"/>
  <c r="E376" i="5"/>
  <c r="D376" i="5"/>
  <c r="H375" i="5"/>
  <c r="G375" i="5"/>
  <c r="F375" i="5"/>
  <c r="E375" i="5"/>
  <c r="D375" i="5"/>
  <c r="F374" i="5"/>
  <c r="E374" i="5"/>
  <c r="D374" i="5"/>
  <c r="H371" i="5"/>
  <c r="G371" i="5"/>
  <c r="F371" i="5"/>
  <c r="E371" i="5"/>
  <c r="D371" i="5"/>
  <c r="H370" i="5"/>
  <c r="G370" i="5"/>
  <c r="F370" i="5"/>
  <c r="E370" i="5"/>
  <c r="D370" i="5"/>
  <c r="H369" i="5"/>
  <c r="G369" i="5"/>
  <c r="F369" i="5"/>
  <c r="E369" i="5"/>
  <c r="D369" i="5"/>
  <c r="H368" i="5"/>
  <c r="G368" i="5"/>
  <c r="F368" i="5"/>
  <c r="E368" i="5"/>
  <c r="D368" i="5"/>
  <c r="H367" i="5"/>
  <c r="G367" i="5"/>
  <c r="E367" i="5"/>
  <c r="D367" i="5"/>
  <c r="H366" i="5"/>
  <c r="G366" i="5"/>
  <c r="F366" i="5"/>
  <c r="E366" i="5"/>
  <c r="D366" i="5"/>
  <c r="H365" i="5"/>
  <c r="G365" i="5"/>
  <c r="F365" i="5"/>
  <c r="E365" i="5"/>
  <c r="D365" i="5"/>
  <c r="H364" i="5"/>
  <c r="G364" i="5"/>
  <c r="F364" i="5"/>
  <c r="E364" i="5"/>
  <c r="D364" i="5"/>
  <c r="F363" i="5"/>
  <c r="E363" i="5"/>
  <c r="D363" i="5"/>
  <c r="H360" i="5"/>
  <c r="G360" i="5"/>
  <c r="F360" i="5"/>
  <c r="E360" i="5"/>
  <c r="D360" i="5"/>
  <c r="H359" i="5"/>
  <c r="G359" i="5"/>
  <c r="F359" i="5"/>
  <c r="E359" i="5"/>
  <c r="D359" i="5"/>
  <c r="H358" i="5"/>
  <c r="G358" i="5"/>
  <c r="F358" i="5"/>
  <c r="E358" i="5"/>
  <c r="D358" i="5"/>
  <c r="H357" i="5"/>
  <c r="G357" i="5"/>
  <c r="F357" i="5"/>
  <c r="E357" i="5"/>
  <c r="D357" i="5"/>
  <c r="H356" i="5"/>
  <c r="G356" i="5"/>
  <c r="E356" i="5"/>
  <c r="D356" i="5"/>
  <c r="H355" i="5"/>
  <c r="G355" i="5"/>
  <c r="F355" i="5"/>
  <c r="E355" i="5"/>
  <c r="D355" i="5"/>
  <c r="H354" i="5"/>
  <c r="G354" i="5"/>
  <c r="F354" i="5"/>
  <c r="E354" i="5"/>
  <c r="D354" i="5"/>
  <c r="H353" i="5"/>
  <c r="G353" i="5"/>
  <c r="F353" i="5"/>
  <c r="E353" i="5"/>
  <c r="D353" i="5"/>
  <c r="E352" i="5"/>
  <c r="F352" i="5"/>
  <c r="D352" i="5"/>
  <c r="G4" i="21" l="1"/>
  <c r="F4" i="21"/>
  <c r="E4" i="21"/>
  <c r="D4" i="21"/>
  <c r="E138" i="5" l="1"/>
  <c r="D138" i="5"/>
  <c r="E284" i="5"/>
  <c r="D284" i="5"/>
  <c r="E283" i="5"/>
  <c r="D283" i="5"/>
  <c r="E282" i="5"/>
  <c r="D282" i="5"/>
  <c r="E281" i="5"/>
  <c r="D281" i="5"/>
  <c r="E280" i="5"/>
  <c r="D280" i="5"/>
  <c r="E278" i="5"/>
  <c r="D278" i="5"/>
  <c r="E277" i="5"/>
  <c r="D277" i="5"/>
  <c r="E276" i="5"/>
  <c r="D276" i="5"/>
  <c r="E275" i="5"/>
  <c r="D275" i="5"/>
  <c r="E274" i="5"/>
  <c r="D274" i="5"/>
  <c r="E272" i="5"/>
  <c r="D272" i="5"/>
  <c r="E271" i="5"/>
  <c r="D271" i="5"/>
  <c r="E270" i="5"/>
  <c r="D270" i="5"/>
  <c r="E269" i="5"/>
  <c r="D269" i="5"/>
  <c r="E268" i="5"/>
  <c r="D268" i="5"/>
  <c r="E266" i="5"/>
  <c r="D266" i="5"/>
  <c r="E265" i="5"/>
  <c r="D265" i="5"/>
  <c r="E264" i="5"/>
  <c r="D264" i="5"/>
  <c r="E263" i="5"/>
  <c r="D263" i="5"/>
  <c r="E262" i="5"/>
  <c r="D262" i="5"/>
  <c r="E260" i="5"/>
  <c r="D260" i="5"/>
  <c r="E259" i="5"/>
  <c r="D259" i="5"/>
  <c r="E258" i="5"/>
  <c r="D258" i="5"/>
  <c r="E257" i="5"/>
  <c r="D257" i="5"/>
  <c r="E256" i="5"/>
  <c r="D256" i="5"/>
  <c r="A590" i="5"/>
  <c r="A583" i="5"/>
  <c r="A576" i="5"/>
  <c r="A569" i="5"/>
  <c r="A562" i="5"/>
  <c r="A561" i="5"/>
  <c r="A554" i="5"/>
  <c r="A547" i="5"/>
  <c r="A540" i="5"/>
  <c r="A533" i="5"/>
  <c r="A526" i="5"/>
  <c r="A525" i="5"/>
  <c r="A523" i="5"/>
  <c r="A522" i="5"/>
  <c r="A521" i="5"/>
  <c r="A520" i="5"/>
  <c r="A519" i="5"/>
  <c r="A511" i="5"/>
  <c r="A504" i="5"/>
  <c r="A497" i="5"/>
  <c r="A490" i="5"/>
  <c r="A483" i="5"/>
  <c r="A475" i="5"/>
  <c r="A468" i="5"/>
  <c r="A461" i="5"/>
  <c r="A454" i="5"/>
  <c r="A447" i="5"/>
  <c r="A439" i="5"/>
  <c r="A432" i="5"/>
  <c r="A425" i="5"/>
  <c r="A418" i="5"/>
  <c r="A395" i="5"/>
  <c r="A384" i="5"/>
  <c r="A373" i="5"/>
  <c r="A369" i="5"/>
  <c r="A380" i="5" s="1"/>
  <c r="A391" i="5" s="1"/>
  <c r="A402" i="5" s="1"/>
  <c r="A368" i="5"/>
  <c r="A379" i="5" s="1"/>
  <c r="A390" i="5" s="1"/>
  <c r="A401" i="5" s="1"/>
  <c r="A367" i="5"/>
  <c r="A378" i="5" s="1"/>
  <c r="A389" i="5" s="1"/>
  <c r="A400" i="5" s="1"/>
  <c r="A366" i="5"/>
  <c r="A377" i="5" s="1"/>
  <c r="A388" i="5" s="1"/>
  <c r="A399" i="5" s="1"/>
  <c r="A365" i="5"/>
  <c r="A376" i="5" s="1"/>
  <c r="A387" i="5" s="1"/>
  <c r="A398" i="5" s="1"/>
  <c r="A364" i="5"/>
  <c r="A375" i="5" s="1"/>
  <c r="A386" i="5" s="1"/>
  <c r="A397" i="5" s="1"/>
  <c r="A363" i="5"/>
  <c r="A374" i="5" s="1"/>
  <c r="A385" i="5" s="1"/>
  <c r="A396" i="5" s="1"/>
  <c r="A362" i="5"/>
  <c r="A360" i="5"/>
  <c r="A371" i="5" s="1"/>
  <c r="A382" i="5" s="1"/>
  <c r="A393" i="5" s="1"/>
  <c r="A404" i="5" s="1"/>
  <c r="A359" i="5"/>
  <c r="A370" i="5" s="1"/>
  <c r="A381" i="5" s="1"/>
  <c r="A392" i="5" s="1"/>
  <c r="A403" i="5" s="1"/>
  <c r="F138" i="5"/>
  <c r="A351" i="5"/>
  <c r="A350" i="5"/>
  <c r="G826" i="5"/>
  <c r="A825" i="5"/>
  <c r="G815" i="5"/>
  <c r="A814" i="5"/>
  <c r="G804" i="5"/>
  <c r="A803" i="5"/>
  <c r="A799" i="5"/>
  <c r="A810" i="5" s="1"/>
  <c r="A821" i="5" s="1"/>
  <c r="A832" i="5" s="1"/>
  <c r="A798" i="5"/>
  <c r="A809" i="5" s="1"/>
  <c r="A820" i="5" s="1"/>
  <c r="A831" i="5" s="1"/>
  <c r="A797" i="5"/>
  <c r="A808" i="5" s="1"/>
  <c r="A819" i="5" s="1"/>
  <c r="A830" i="5" s="1"/>
  <c r="A796" i="5"/>
  <c r="A807" i="5" s="1"/>
  <c r="A818" i="5" s="1"/>
  <c r="A829" i="5" s="1"/>
  <c r="A795" i="5"/>
  <c r="A806" i="5" s="1"/>
  <c r="A817" i="5" s="1"/>
  <c r="A828" i="5" s="1"/>
  <c r="A794" i="5"/>
  <c r="A805" i="5" s="1"/>
  <c r="A816" i="5" s="1"/>
  <c r="A827" i="5" s="1"/>
  <c r="G793" i="5"/>
  <c r="A793" i="5"/>
  <c r="A804" i="5" s="1"/>
  <c r="A815" i="5" s="1"/>
  <c r="A826" i="5" s="1"/>
  <c r="A792" i="5"/>
  <c r="A790" i="5"/>
  <c r="A801" i="5" s="1"/>
  <c r="A812" i="5" s="1"/>
  <c r="A823" i="5" s="1"/>
  <c r="A834" i="5" s="1"/>
  <c r="A789" i="5"/>
  <c r="A800" i="5" s="1"/>
  <c r="A811" i="5" s="1"/>
  <c r="A822" i="5" s="1"/>
  <c r="A833" i="5" s="1"/>
  <c r="A781" i="5"/>
  <c r="G352" i="5" l="1"/>
  <c r="G138" i="5" s="1"/>
  <c r="H793" i="5"/>
  <c r="H363" i="5" s="1"/>
  <c r="G363" i="5"/>
  <c r="H804" i="5"/>
  <c r="H374" i="5" s="1"/>
  <c r="G374" i="5"/>
  <c r="H815" i="5"/>
  <c r="H385" i="5" s="1"/>
  <c r="G385" i="5"/>
  <c r="H826" i="5"/>
  <c r="H396" i="5" s="1"/>
  <c r="G396" i="5"/>
  <c r="H352" i="5" l="1"/>
  <c r="H138" i="5" s="1"/>
  <c r="A334" i="21"/>
  <c r="A328" i="21"/>
  <c r="A322" i="21"/>
  <c r="A316" i="21"/>
  <c r="A310" i="21"/>
  <c r="A309" i="21"/>
  <c r="A303" i="21"/>
  <c r="A297" i="21"/>
  <c r="A291" i="21"/>
  <c r="A285" i="21"/>
  <c r="A279" i="21"/>
  <c r="A278" i="21"/>
  <c r="A276" i="21"/>
  <c r="A275" i="21"/>
  <c r="A274" i="21"/>
  <c r="A273" i="21"/>
  <c r="A272" i="21"/>
  <c r="A265" i="21"/>
  <c r="A259" i="21"/>
  <c r="A253" i="21"/>
  <c r="A247" i="21"/>
  <c r="A241" i="21"/>
  <c r="A234" i="21"/>
  <c r="A228" i="21"/>
  <c r="A222" i="21"/>
  <c r="A216" i="21"/>
  <c r="A210" i="21"/>
  <c r="A203" i="21"/>
  <c r="A35" i="21" s="1"/>
  <c r="A197" i="21"/>
  <c r="A191" i="21"/>
  <c r="A185" i="21"/>
  <c r="A17" i="21" s="1"/>
  <c r="A179" i="21"/>
  <c r="A11" i="21" s="1"/>
  <c r="A167" i="21"/>
  <c r="A161" i="21"/>
  <c r="A155" i="21"/>
  <c r="A149" i="21"/>
  <c r="A143" i="21"/>
  <c r="A142" i="21"/>
  <c r="A136" i="21"/>
  <c r="A130" i="21"/>
  <c r="A124" i="21"/>
  <c r="A118" i="21"/>
  <c r="A112" i="21"/>
  <c r="A111" i="21"/>
  <c r="A109" i="21"/>
  <c r="A108" i="21"/>
  <c r="A107" i="21"/>
  <c r="A106" i="21"/>
  <c r="A105" i="21"/>
  <c r="A104" i="21"/>
  <c r="A92" i="21"/>
  <c r="A86" i="21"/>
  <c r="A80" i="21"/>
  <c r="A74" i="21"/>
  <c r="A73" i="21"/>
  <c r="A61" i="21"/>
  <c r="A55" i="21"/>
  <c r="A49" i="21"/>
  <c r="A43" i="21"/>
  <c r="A41" i="21"/>
  <c r="A23" i="21"/>
  <c r="A9" i="21"/>
  <c r="A8" i="21"/>
  <c r="B2" i="21"/>
  <c r="G144" i="21" l="1"/>
  <c r="G145" i="21"/>
  <c r="G146" i="21"/>
  <c r="G147" i="21"/>
  <c r="G150" i="21"/>
  <c r="G151" i="21"/>
  <c r="G152" i="21"/>
  <c r="G153" i="21"/>
  <c r="G156" i="21"/>
  <c r="G157" i="21"/>
  <c r="G158" i="21"/>
  <c r="G159" i="21"/>
  <c r="G162" i="21"/>
  <c r="G163" i="21"/>
  <c r="G164" i="21"/>
  <c r="G165" i="21"/>
  <c r="G168" i="21"/>
  <c r="G169" i="21"/>
  <c r="G170" i="21"/>
  <c r="G171" i="21"/>
  <c r="F171" i="21"/>
  <c r="F169" i="21"/>
  <c r="F165" i="21"/>
  <c r="F163" i="21"/>
  <c r="F159" i="21"/>
  <c r="F157" i="21"/>
  <c r="F153" i="21"/>
  <c r="F151" i="21"/>
  <c r="F144" i="21"/>
  <c r="F146" i="21"/>
  <c r="H144" i="21"/>
  <c r="H145" i="21"/>
  <c r="H146" i="21"/>
  <c r="H147" i="21"/>
  <c r="H150" i="21"/>
  <c r="H151" i="21"/>
  <c r="H152" i="21"/>
  <c r="H153" i="21"/>
  <c r="H156" i="21"/>
  <c r="H157" i="21"/>
  <c r="H158" i="21"/>
  <c r="H159" i="21"/>
  <c r="H162" i="21"/>
  <c r="H163" i="21"/>
  <c r="H164" i="21"/>
  <c r="H165" i="21"/>
  <c r="H168" i="21"/>
  <c r="H169" i="21"/>
  <c r="H170" i="21"/>
  <c r="H171" i="21"/>
  <c r="F170" i="21"/>
  <c r="F168" i="21"/>
  <c r="F164" i="21"/>
  <c r="F162" i="21"/>
  <c r="F158" i="21"/>
  <c r="F156" i="21"/>
  <c r="F152" i="21"/>
  <c r="F150" i="21"/>
  <c r="F147" i="21"/>
  <c r="F145" i="21"/>
  <c r="A29" i="21"/>
  <c r="A15" i="1"/>
  <c r="A254" i="5"/>
  <c r="G47" i="21"/>
  <c r="H46" i="21"/>
  <c r="F46" i="21"/>
  <c r="G45" i="21"/>
  <c r="H44" i="21"/>
  <c r="F44" i="21"/>
  <c r="H47" i="21"/>
  <c r="F47" i="21"/>
  <c r="G46" i="21"/>
  <c r="H45" i="21"/>
  <c r="F45" i="21"/>
  <c r="G44" i="21"/>
  <c r="G59" i="21"/>
  <c r="H58" i="21"/>
  <c r="F58" i="21"/>
  <c r="G57" i="21"/>
  <c r="H56" i="21"/>
  <c r="F56" i="21"/>
  <c r="H59" i="21"/>
  <c r="F59" i="21"/>
  <c r="G58" i="21"/>
  <c r="H57" i="21"/>
  <c r="F57" i="21"/>
  <c r="G56" i="21"/>
  <c r="G71" i="21"/>
  <c r="H70" i="21"/>
  <c r="H71" i="21"/>
  <c r="F71" i="21"/>
  <c r="G70" i="21"/>
  <c r="F70" i="21"/>
  <c r="G69" i="21"/>
  <c r="H68" i="21"/>
  <c r="F68" i="21"/>
  <c r="H69" i="21"/>
  <c r="F69" i="21"/>
  <c r="H82" i="21"/>
  <c r="G263" i="21"/>
  <c r="G262" i="21"/>
  <c r="G95" i="21" s="1"/>
  <c r="H269" i="21"/>
  <c r="G106" i="21"/>
  <c r="H106" i="21"/>
  <c r="F106" i="21"/>
  <c r="G108" i="21"/>
  <c r="H108" i="21"/>
  <c r="F108" i="21"/>
  <c r="H140" i="21"/>
  <c r="H9" i="21"/>
  <c r="F9" i="21"/>
  <c r="G9" i="21"/>
  <c r="H8" i="21"/>
  <c r="F8" i="21"/>
  <c r="G8" i="21"/>
  <c r="G53" i="21"/>
  <c r="H52" i="21"/>
  <c r="F52" i="21"/>
  <c r="G51" i="21"/>
  <c r="H50" i="21"/>
  <c r="F50" i="21"/>
  <c r="F367" i="5" s="1"/>
  <c r="H53" i="21"/>
  <c r="F53" i="21"/>
  <c r="G52" i="21"/>
  <c r="H51" i="21"/>
  <c r="F51" i="21"/>
  <c r="G50" i="21"/>
  <c r="G65" i="21"/>
  <c r="H64" i="21"/>
  <c r="F64" i="21"/>
  <c r="G63" i="21"/>
  <c r="H62" i="21"/>
  <c r="F62" i="21"/>
  <c r="F389" i="5" s="1"/>
  <c r="H65" i="21"/>
  <c r="F65" i="21"/>
  <c r="G64" i="21"/>
  <c r="H63" i="21"/>
  <c r="F63" i="21"/>
  <c r="G62" i="21"/>
  <c r="G76" i="21"/>
  <c r="G88" i="21"/>
  <c r="H105" i="21"/>
  <c r="F105" i="21"/>
  <c r="G105" i="21"/>
  <c r="H107" i="21"/>
  <c r="F107" i="21"/>
  <c r="G107" i="21"/>
  <c r="H109" i="21"/>
  <c r="F109" i="21"/>
  <c r="G109" i="21"/>
  <c r="A67" i="21"/>
  <c r="A98" i="21"/>
  <c r="G68" i="21"/>
  <c r="G113" i="21"/>
  <c r="G114" i="21"/>
  <c r="G115" i="21"/>
  <c r="G116" i="21"/>
  <c r="F119" i="21"/>
  <c r="H119" i="21"/>
  <c r="F120" i="21"/>
  <c r="H120" i="21"/>
  <c r="F121" i="21"/>
  <c r="H121" i="21"/>
  <c r="F122" i="21"/>
  <c r="H122" i="21"/>
  <c r="G125" i="21"/>
  <c r="G126" i="21"/>
  <c r="G127" i="21"/>
  <c r="G128" i="21"/>
  <c r="F131" i="21"/>
  <c r="H131" i="21"/>
  <c r="F132" i="21"/>
  <c r="H132" i="21"/>
  <c r="F133" i="21"/>
  <c r="H133" i="21"/>
  <c r="F134" i="21"/>
  <c r="H134" i="21"/>
  <c r="G137" i="21"/>
  <c r="G138" i="21"/>
  <c r="G139" i="21"/>
  <c r="G140" i="21"/>
  <c r="F113" i="21"/>
  <c r="H113" i="21"/>
  <c r="F114" i="21"/>
  <c r="H114" i="21"/>
  <c r="F115" i="21"/>
  <c r="H115" i="21"/>
  <c r="F116" i="21"/>
  <c r="H116" i="21"/>
  <c r="G119" i="21"/>
  <c r="G120" i="21"/>
  <c r="G121" i="21"/>
  <c r="G122" i="21"/>
  <c r="F125" i="21"/>
  <c r="H125" i="21"/>
  <c r="F126" i="21"/>
  <c r="H126" i="21"/>
  <c r="F127" i="21"/>
  <c r="H127" i="21"/>
  <c r="F128" i="21"/>
  <c r="H128" i="21"/>
  <c r="G131" i="21"/>
  <c r="G132" i="21"/>
  <c r="G133" i="21"/>
  <c r="G134" i="21"/>
  <c r="F137" i="21"/>
  <c r="H137" i="21"/>
  <c r="F138" i="21"/>
  <c r="H138" i="21"/>
  <c r="F139" i="21"/>
  <c r="H139" i="21"/>
  <c r="F140" i="21"/>
  <c r="G409" i="5" l="1"/>
  <c r="H409" i="5"/>
  <c r="G36" i="21"/>
  <c r="H37" i="21"/>
  <c r="F39" i="21"/>
  <c r="F36" i="21"/>
  <c r="G37" i="21"/>
  <c r="H38" i="21"/>
  <c r="G24" i="21"/>
  <c r="H25" i="21"/>
  <c r="F27" i="21"/>
  <c r="F24" i="21"/>
  <c r="G25" i="21"/>
  <c r="H26" i="21"/>
  <c r="F37" i="21"/>
  <c r="G38" i="21"/>
  <c r="H39" i="21"/>
  <c r="H36" i="21"/>
  <c r="F38" i="21"/>
  <c r="G39" i="21"/>
  <c r="F25" i="21"/>
  <c r="G26" i="21"/>
  <c r="H27" i="21"/>
  <c r="H24" i="21"/>
  <c r="F26" i="21"/>
  <c r="G12" i="21"/>
  <c r="H13" i="21"/>
  <c r="F15" i="21"/>
  <c r="F12" i="21"/>
  <c r="G13" i="21"/>
  <c r="H14" i="21"/>
  <c r="G30" i="21"/>
  <c r="H31" i="21"/>
  <c r="F33" i="21"/>
  <c r="F30" i="21"/>
  <c r="G31" i="21"/>
  <c r="H32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31" i="21"/>
  <c r="G32" i="21"/>
  <c r="H33" i="21"/>
  <c r="H30" i="21"/>
  <c r="F32" i="21"/>
  <c r="G33" i="21"/>
  <c r="F19" i="21"/>
  <c r="G20" i="21"/>
  <c r="H21" i="21"/>
  <c r="H18" i="21"/>
  <c r="F20" i="21"/>
  <c r="G21" i="21"/>
  <c r="G423" i="5" s="1"/>
  <c r="G473" i="5"/>
  <c r="H473" i="5" s="1"/>
  <c r="H278" i="5" s="1"/>
  <c r="G94" i="21"/>
  <c r="G521" i="5"/>
  <c r="G470" i="5"/>
  <c r="H470" i="5" s="1"/>
  <c r="G456" i="5"/>
  <c r="G263" i="5" s="1"/>
  <c r="G472" i="5"/>
  <c r="G274" i="5" s="1"/>
  <c r="H100" i="21"/>
  <c r="G458" i="5"/>
  <c r="G262" i="5" s="1"/>
  <c r="H94" i="21"/>
  <c r="H263" i="21"/>
  <c r="H96" i="21" s="1"/>
  <c r="G100" i="21"/>
  <c r="G269" i="21"/>
  <c r="G102" i="21" s="1"/>
  <c r="G471" i="5"/>
  <c r="G276" i="5" s="1"/>
  <c r="G522" i="5"/>
  <c r="H522" i="5" s="1"/>
  <c r="G457" i="5"/>
  <c r="H457" i="5" s="1"/>
  <c r="H264" i="5" s="1"/>
  <c r="G519" i="5"/>
  <c r="H519" i="5" s="1"/>
  <c r="G257" i="21"/>
  <c r="G90" i="21" s="1"/>
  <c r="G520" i="5"/>
  <c r="H520" i="5" s="1"/>
  <c r="G459" i="5"/>
  <c r="H459" i="5" s="1"/>
  <c r="H266" i="5" s="1"/>
  <c r="G245" i="21"/>
  <c r="G78" i="21" s="1"/>
  <c r="G96" i="21"/>
  <c r="G93" i="21"/>
  <c r="H251" i="21"/>
  <c r="H84" i="21" s="1"/>
  <c r="F378" i="5"/>
  <c r="F277" i="5"/>
  <c r="F274" i="5"/>
  <c r="F278" i="5"/>
  <c r="F276" i="5"/>
  <c r="F275" i="5"/>
  <c r="F265" i="5"/>
  <c r="F262" i="5"/>
  <c r="F266" i="5"/>
  <c r="F264" i="5"/>
  <c r="F263" i="5"/>
  <c r="G251" i="21"/>
  <c r="G84" i="21" s="1"/>
  <c r="G82" i="21"/>
  <c r="G250" i="21"/>
  <c r="G83" i="21" s="1"/>
  <c r="G81" i="21"/>
  <c r="G278" i="5"/>
  <c r="G523" i="5"/>
  <c r="G266" i="5"/>
  <c r="G268" i="21"/>
  <c r="G101" i="21" s="1"/>
  <c r="G99" i="21"/>
  <c r="H262" i="21"/>
  <c r="H95" i="21" s="1"/>
  <c r="H93" i="21"/>
  <c r="G256" i="21"/>
  <c r="G89" i="21" s="1"/>
  <c r="G87" i="21"/>
  <c r="H250" i="21"/>
  <c r="H83" i="21" s="1"/>
  <c r="H81" i="21"/>
  <c r="G244" i="21"/>
  <c r="G77" i="21" s="1"/>
  <c r="G75" i="21"/>
  <c r="H102" i="21"/>
  <c r="H268" i="21"/>
  <c r="H101" i="21" s="1"/>
  <c r="H99" i="21"/>
  <c r="F257" i="21"/>
  <c r="F90" i="21" s="1"/>
  <c r="F88" i="21"/>
  <c r="G500" i="5" s="1"/>
  <c r="F256" i="21"/>
  <c r="F89" i="21" s="1"/>
  <c r="F87" i="21"/>
  <c r="F245" i="21"/>
  <c r="F78" i="21" s="1"/>
  <c r="F76" i="21"/>
  <c r="G486" i="5" s="1"/>
  <c r="F244" i="21"/>
  <c r="F77" i="21" s="1"/>
  <c r="F75" i="21"/>
  <c r="F263" i="21"/>
  <c r="F96" i="21" s="1"/>
  <c r="F94" i="21"/>
  <c r="F262" i="21"/>
  <c r="F95" i="21" s="1"/>
  <c r="G508" i="5" s="1"/>
  <c r="F93" i="21"/>
  <c r="F251" i="21"/>
  <c r="F84" i="21" s="1"/>
  <c r="F82" i="21"/>
  <c r="F250" i="21"/>
  <c r="F83" i="21" s="1"/>
  <c r="F81" i="21"/>
  <c r="F269" i="21"/>
  <c r="F102" i="21" s="1"/>
  <c r="F100" i="21"/>
  <c r="F268" i="21"/>
  <c r="F101" i="21" s="1"/>
  <c r="F99" i="21"/>
  <c r="H257" i="21"/>
  <c r="H90" i="21" s="1"/>
  <c r="H88" i="21"/>
  <c r="H256" i="21"/>
  <c r="H89" i="21" s="1"/>
  <c r="H87" i="21"/>
  <c r="H245" i="21"/>
  <c r="H78" i="21" s="1"/>
  <c r="H76" i="21"/>
  <c r="H244" i="21"/>
  <c r="H77" i="21" s="1"/>
  <c r="H75" i="21"/>
  <c r="H456" i="5" l="1"/>
  <c r="H263" i="5" s="1"/>
  <c r="G494" i="5"/>
  <c r="G495" i="5"/>
  <c r="H495" i="5" s="1"/>
  <c r="G509" i="5"/>
  <c r="H509" i="5" s="1"/>
  <c r="G502" i="5"/>
  <c r="H502" i="5" s="1"/>
  <c r="H471" i="5"/>
  <c r="H276" i="5" s="1"/>
  <c r="G430" i="5"/>
  <c r="H430" i="5" s="1"/>
  <c r="H423" i="5"/>
  <c r="G435" i="5"/>
  <c r="H435" i="5" s="1"/>
  <c r="G414" i="5"/>
  <c r="H414" i="5" s="1"/>
  <c r="G275" i="5"/>
  <c r="G421" i="5"/>
  <c r="H421" i="5" s="1"/>
  <c r="G265" i="5"/>
  <c r="H472" i="5"/>
  <c r="H274" i="5" s="1"/>
  <c r="G513" i="5"/>
  <c r="H513" i="5" s="1"/>
  <c r="G514" i="5"/>
  <c r="H514" i="5" s="1"/>
  <c r="H521" i="5"/>
  <c r="G515" i="5"/>
  <c r="G516" i="5"/>
  <c r="H516" i="5" s="1"/>
  <c r="G434" i="5"/>
  <c r="G422" i="5"/>
  <c r="H458" i="5"/>
  <c r="H262" i="5" s="1"/>
  <c r="G264" i="5"/>
  <c r="G277" i="5"/>
  <c r="G488" i="5"/>
  <c r="H488" i="5" s="1"/>
  <c r="G420" i="5"/>
  <c r="H420" i="5" s="1"/>
  <c r="G492" i="5"/>
  <c r="H492" i="5" s="1"/>
  <c r="G493" i="5"/>
  <c r="H493" i="5" s="1"/>
  <c r="G506" i="5"/>
  <c r="H506" i="5" s="1"/>
  <c r="G507" i="5"/>
  <c r="H507" i="5" s="1"/>
  <c r="G429" i="5"/>
  <c r="G441" i="5"/>
  <c r="H441" i="5" s="1"/>
  <c r="G437" i="5"/>
  <c r="H437" i="5" s="1"/>
  <c r="G436" i="5"/>
  <c r="G427" i="5"/>
  <c r="H427" i="5" s="1"/>
  <c r="G428" i="5"/>
  <c r="H428" i="5" s="1"/>
  <c r="G442" i="5"/>
  <c r="H442" i="5" s="1"/>
  <c r="G443" i="5"/>
  <c r="G415" i="5"/>
  <c r="F356" i="5"/>
  <c r="G451" i="5" s="1"/>
  <c r="F400" i="5"/>
  <c r="G479" i="5" s="1"/>
  <c r="H508" i="5"/>
  <c r="F271" i="5"/>
  <c r="F268" i="5"/>
  <c r="F272" i="5"/>
  <c r="F270" i="5"/>
  <c r="F269" i="5"/>
  <c r="G464" i="5"/>
  <c r="G466" i="5"/>
  <c r="G463" i="5"/>
  <c r="G465" i="5"/>
  <c r="H486" i="5"/>
  <c r="H500" i="5"/>
  <c r="G487" i="5"/>
  <c r="G501" i="5"/>
  <c r="H434" i="5"/>
  <c r="G413" i="5"/>
  <c r="G416" i="5"/>
  <c r="H416" i="5" s="1"/>
  <c r="H275" i="5"/>
  <c r="H523" i="5"/>
  <c r="G485" i="5"/>
  <c r="G499" i="5"/>
  <c r="G444" i="5" l="1"/>
  <c r="H444" i="5" s="1"/>
  <c r="H501" i="5"/>
  <c r="H515" i="5"/>
  <c r="H422" i="5"/>
  <c r="H494" i="5"/>
  <c r="H265" i="5"/>
  <c r="H277" i="5"/>
  <c r="G478" i="5"/>
  <c r="G282" i="5" s="1"/>
  <c r="F280" i="5"/>
  <c r="F282" i="5"/>
  <c r="G477" i="5"/>
  <c r="G281" i="5" s="1"/>
  <c r="H443" i="5"/>
  <c r="H436" i="5"/>
  <c r="G452" i="5"/>
  <c r="G260" i="5" s="1"/>
  <c r="F256" i="5"/>
  <c r="H415" i="5"/>
  <c r="H429" i="5"/>
  <c r="F258" i="5"/>
  <c r="F260" i="5"/>
  <c r="G480" i="5"/>
  <c r="G284" i="5" s="1"/>
  <c r="F281" i="5"/>
  <c r="F284" i="5"/>
  <c r="F283" i="5"/>
  <c r="G450" i="5"/>
  <c r="H450" i="5" s="1"/>
  <c r="H258" i="5" s="1"/>
  <c r="F259" i="5"/>
  <c r="F257" i="5"/>
  <c r="G449" i="5"/>
  <c r="G257" i="5" s="1"/>
  <c r="G256" i="5"/>
  <c r="H451" i="5"/>
  <c r="G259" i="5"/>
  <c r="H479" i="5"/>
  <c r="G283" i="5"/>
  <c r="H487" i="5"/>
  <c r="H478" i="5"/>
  <c r="H282" i="5" s="1"/>
  <c r="H465" i="5"/>
  <c r="G271" i="5"/>
  <c r="H466" i="5"/>
  <c r="H272" i="5" s="1"/>
  <c r="G272" i="5"/>
  <c r="H463" i="5"/>
  <c r="G269" i="5"/>
  <c r="G268" i="5"/>
  <c r="G280" i="5"/>
  <c r="H464" i="5"/>
  <c r="H270" i="5" s="1"/>
  <c r="G270" i="5"/>
  <c r="H499" i="5"/>
  <c r="H485" i="5"/>
  <c r="H413" i="5"/>
  <c r="H283" i="5" l="1"/>
  <c r="H449" i="5"/>
  <c r="H257" i="5" s="1"/>
  <c r="H452" i="5"/>
  <c r="H260" i="5" s="1"/>
  <c r="H477" i="5"/>
  <c r="G258" i="5"/>
  <c r="H480" i="5"/>
  <c r="H284" i="5" s="1"/>
  <c r="H259" i="5"/>
  <c r="H271" i="5"/>
  <c r="H268" i="5"/>
  <c r="H281" i="5"/>
  <c r="H280" i="5"/>
  <c r="H256" i="5"/>
  <c r="H269" i="5"/>
  <c r="H4" i="1" l="1"/>
  <c r="G4" i="1"/>
  <c r="F4" i="1"/>
  <c r="E4" i="1"/>
  <c r="D4" i="1"/>
  <c r="D606" i="5" l="1"/>
  <c r="D616" i="5" s="1"/>
  <c r="D626" i="5" s="1"/>
  <c r="D636" i="5" s="1"/>
  <c r="D646" i="5" s="1"/>
  <c r="A47" i="4"/>
  <c r="D103" i="5" l="1"/>
  <c r="D97" i="5"/>
  <c r="D58" i="5" s="1"/>
  <c r="D91" i="5"/>
  <c r="D52" i="5" s="1"/>
  <c r="D85" i="5"/>
  <c r="D79" i="5"/>
  <c r="D75" i="5"/>
  <c r="A29" i="6" l="1"/>
  <c r="D4" i="5"/>
  <c r="A18" i="2" l="1"/>
  <c r="A17" i="2"/>
  <c r="A16" i="2"/>
  <c r="A15" i="2"/>
  <c r="A14" i="2"/>
  <c r="A13" i="2"/>
  <c r="A12" i="2"/>
  <c r="A11" i="2"/>
  <c r="A10" i="2"/>
  <c r="A9" i="2"/>
  <c r="B2" i="5" l="1"/>
  <c r="A780" i="5" s="1"/>
  <c r="B2" i="2" l="1"/>
  <c r="B2" i="1"/>
  <c r="A512" i="5" l="1"/>
  <c r="A527" i="5" s="1"/>
  <c r="A534" i="5" s="1"/>
  <c r="A541" i="5" s="1"/>
  <c r="A548" i="5" s="1"/>
  <c r="A498" i="5"/>
  <c r="A484" i="5"/>
  <c r="A469" i="5"/>
  <c r="A455" i="5"/>
  <c r="A440" i="5"/>
  <c r="A426" i="5"/>
  <c r="A412" i="5"/>
  <c r="A505" i="5"/>
  <c r="A491" i="5"/>
  <c r="A476" i="5"/>
  <c r="A462" i="5"/>
  <c r="A448" i="5"/>
  <c r="A433" i="5"/>
  <c r="A419" i="5"/>
  <c r="A8" i="2"/>
  <c r="B2" i="4"/>
  <c r="H4" i="5"/>
  <c r="G4" i="5"/>
  <c r="F4" i="5"/>
  <c r="E4" i="5"/>
  <c r="A563" i="5" l="1"/>
  <c r="A570" i="5" s="1"/>
  <c r="A577" i="5" s="1"/>
  <c r="A584" i="5" s="1"/>
  <c r="A591" i="5" s="1"/>
  <c r="A555" i="5"/>
  <c r="A592" i="5"/>
  <c r="A164" i="1"/>
  <c r="A163" i="1"/>
  <c r="A162" i="1"/>
  <c r="A161" i="1"/>
  <c r="A160" i="1"/>
  <c r="A144" i="1"/>
  <c r="A129" i="1"/>
  <c r="A114" i="1"/>
  <c r="A84" i="1"/>
  <c r="A67" i="1"/>
  <c r="A52" i="1"/>
  <c r="A37" i="1"/>
  <c r="A32" i="1"/>
  <c r="A47" i="1" s="1"/>
  <c r="A62" i="1" s="1"/>
  <c r="A77" i="1" s="1"/>
  <c r="A94" i="1" s="1"/>
  <c r="A109" i="1" s="1"/>
  <c r="A124" i="1" s="1"/>
  <c r="A139" i="1" s="1"/>
  <c r="A154" i="1" s="1"/>
  <c r="A31" i="1"/>
  <c r="A46" i="1" s="1"/>
  <c r="A61" i="1" s="1"/>
  <c r="A76" i="1" s="1"/>
  <c r="A93" i="1" s="1"/>
  <c r="A108" i="1" s="1"/>
  <c r="A123" i="1" s="1"/>
  <c r="A138" i="1" s="1"/>
  <c r="A153" i="1" s="1"/>
  <c r="A30" i="1"/>
  <c r="A45" i="1" s="1"/>
  <c r="A60" i="1" s="1"/>
  <c r="A75" i="1" s="1"/>
  <c r="A92" i="1" s="1"/>
  <c r="A107" i="1" s="1"/>
  <c r="A122" i="1" s="1"/>
  <c r="A137" i="1" s="1"/>
  <c r="A152" i="1" s="1"/>
  <c r="A29" i="1"/>
  <c r="A44" i="1" s="1"/>
  <c r="A59" i="1" s="1"/>
  <c r="A74" i="1" s="1"/>
  <c r="A91" i="1" s="1"/>
  <c r="A106" i="1" s="1"/>
  <c r="A121" i="1" s="1"/>
  <c r="A136" i="1" s="1"/>
  <c r="A151" i="1" s="1"/>
  <c r="A28" i="1"/>
  <c r="A43" i="1" s="1"/>
  <c r="A58" i="1" s="1"/>
  <c r="A73" i="1" s="1"/>
  <c r="A90" i="1" s="1"/>
  <c r="A105" i="1" s="1"/>
  <c r="A120" i="1" s="1"/>
  <c r="A135" i="1" s="1"/>
  <c r="A150" i="1" s="1"/>
  <c r="A27" i="1"/>
  <c r="A42" i="1" s="1"/>
  <c r="A57" i="1" s="1"/>
  <c r="A72" i="1" s="1"/>
  <c r="A89" i="1" s="1"/>
  <c r="A104" i="1" s="1"/>
  <c r="A119" i="1" s="1"/>
  <c r="A134" i="1" s="1"/>
  <c r="A149" i="1" s="1"/>
  <c r="A26" i="1"/>
  <c r="A41" i="1" s="1"/>
  <c r="A56" i="1" s="1"/>
  <c r="A71" i="1" s="1"/>
  <c r="A88" i="1" s="1"/>
  <c r="A103" i="1" s="1"/>
  <c r="A118" i="1" s="1"/>
  <c r="A133" i="1" s="1"/>
  <c r="A148" i="1" s="1"/>
  <c r="A25" i="1"/>
  <c r="A40" i="1" s="1"/>
  <c r="A55" i="1" s="1"/>
  <c r="A70" i="1" s="1"/>
  <c r="A87" i="1" s="1"/>
  <c r="A102" i="1" s="1"/>
  <c r="A117" i="1" s="1"/>
  <c r="A132" i="1" s="1"/>
  <c r="A147" i="1" s="1"/>
  <c r="A24" i="1"/>
  <c r="A39" i="1" s="1"/>
  <c r="A54" i="1" s="1"/>
  <c r="A69" i="1" s="1"/>
  <c r="A86" i="1" s="1"/>
  <c r="A101" i="1" s="1"/>
  <c r="A116" i="1" s="1"/>
  <c r="A131" i="1" s="1"/>
  <c r="A146" i="1" s="1"/>
  <c r="A23" i="1"/>
  <c r="A38" i="1" s="1"/>
  <c r="A53" i="1" s="1"/>
  <c r="A68" i="1" s="1"/>
  <c r="A85" i="1" s="1"/>
  <c r="A100" i="1" s="1"/>
  <c r="A115" i="1" s="1"/>
  <c r="A130" i="1" s="1"/>
  <c r="A145" i="1" s="1"/>
  <c r="A22" i="1"/>
  <c r="A19" i="1"/>
  <c r="A18" i="1"/>
  <c r="A7" i="1"/>
  <c r="A614" i="5"/>
  <c r="A624" i="5" s="1"/>
  <c r="A634" i="5" s="1"/>
  <c r="A644" i="5" s="1"/>
  <c r="A598" i="5"/>
  <c r="A578" i="5" l="1"/>
  <c r="A585" i="5"/>
  <c r="A564" i="5"/>
  <c r="A571" i="5"/>
  <c r="A549" i="5"/>
  <c r="A556" i="5"/>
  <c r="A535" i="5"/>
  <c r="A542" i="5"/>
  <c r="A513" i="5"/>
  <c r="A528" i="5"/>
  <c r="A499" i="5"/>
  <c r="A506" i="5"/>
  <c r="A485" i="5"/>
  <c r="A492" i="5"/>
  <c r="A470" i="5"/>
  <c r="A477" i="5"/>
  <c r="A456" i="5"/>
  <c r="A463" i="5"/>
  <c r="A441" i="5"/>
  <c r="A449" i="5"/>
  <c r="A427" i="5"/>
  <c r="A434" i="5"/>
  <c r="A335" i="21"/>
  <c r="A420" i="5"/>
  <c r="A323" i="21"/>
  <c r="A329" i="21"/>
  <c r="A311" i="21"/>
  <c r="A317" i="21"/>
  <c r="A298" i="21"/>
  <c r="A304" i="21"/>
  <c r="A286" i="21"/>
  <c r="A292" i="21"/>
  <c r="A266" i="21"/>
  <c r="A280" i="21"/>
  <c r="A254" i="21"/>
  <c r="A260" i="21"/>
  <c r="A242" i="21"/>
  <c r="A248" i="21"/>
  <c r="A229" i="21"/>
  <c r="A235" i="21"/>
  <c r="A217" i="21"/>
  <c r="A223" i="21"/>
  <c r="A204" i="21"/>
  <c r="A211" i="21"/>
  <c r="A198" i="21"/>
  <c r="A413" i="5"/>
  <c r="A192" i="21"/>
  <c r="A180" i="21"/>
  <c r="A186" i="21"/>
  <c r="A34" i="1"/>
  <c r="A49" i="1" s="1"/>
  <c r="A64" i="1" s="1"/>
  <c r="A79" i="1" s="1"/>
  <c r="A96" i="1" s="1"/>
  <c r="A111" i="1" s="1"/>
  <c r="A126" i="1" s="1"/>
  <c r="A141" i="1" s="1"/>
  <c r="A156" i="1" s="1"/>
  <c r="A20" i="2"/>
  <c r="A33" i="1"/>
  <c r="A48" i="1" s="1"/>
  <c r="A63" i="1" s="1"/>
  <c r="A78" i="1" s="1"/>
  <c r="A95" i="1" s="1"/>
  <c r="A110" i="1" s="1"/>
  <c r="A125" i="1" s="1"/>
  <c r="A140" i="1" s="1"/>
  <c r="A155" i="1" s="1"/>
  <c r="A19" i="2"/>
  <c r="A279" i="5" l="1"/>
  <c r="A273" i="5"/>
  <c r="A267" i="5"/>
  <c r="A261" i="5"/>
  <c r="A255" i="5"/>
  <c r="B1" i="4" l="1"/>
  <c r="D107" i="5"/>
  <c r="D68" i="5" s="1"/>
  <c r="D101" i="5"/>
  <c r="D62" i="5" s="1"/>
  <c r="D95" i="5"/>
  <c r="D56" i="5" s="1"/>
  <c r="D89" i="5"/>
  <c r="D83" i="5"/>
  <c r="A724" i="5"/>
  <c r="A730" i="5" s="1"/>
  <c r="A736" i="5" s="1"/>
  <c r="A742" i="5" s="1"/>
  <c r="D74" i="5"/>
  <c r="D73" i="5"/>
  <c r="D72" i="5"/>
  <c r="D71" i="5"/>
  <c r="A661" i="5"/>
  <c r="A670" i="5" s="1"/>
  <c r="A679" i="5" s="1"/>
  <c r="A688" i="5" s="1"/>
  <c r="A662" i="5"/>
  <c r="A671" i="5" s="1"/>
  <c r="A680" i="5" s="1"/>
  <c r="A689" i="5" s="1"/>
  <c r="A663" i="5"/>
  <c r="A672" i="5" s="1"/>
  <c r="A681" i="5" s="1"/>
  <c r="A690" i="5" s="1"/>
  <c r="A664" i="5"/>
  <c r="A673" i="5" s="1"/>
  <c r="A682" i="5" s="1"/>
  <c r="A691" i="5" s="1"/>
  <c r="A660" i="5"/>
  <c r="A669" i="5" s="1"/>
  <c r="A678" i="5" s="1"/>
  <c r="A687" i="5" s="1"/>
  <c r="D778" i="5"/>
  <c r="D771" i="5"/>
  <c r="D764" i="5"/>
  <c r="D757" i="5"/>
  <c r="D750" i="5"/>
  <c r="B1" i="21" l="1"/>
  <c r="B1" i="5"/>
  <c r="B1" i="1"/>
  <c r="B1" i="2"/>
  <c r="D127" i="5"/>
  <c r="D129" i="5"/>
  <c r="D128" i="5"/>
  <c r="D126" i="5"/>
  <c r="D64" i="5"/>
  <c r="D40" i="5"/>
  <c r="A75" i="5"/>
  <c r="A74" i="5"/>
  <c r="A73" i="5"/>
  <c r="A72" i="5"/>
  <c r="A71" i="5"/>
  <c r="D46" i="5" l="1"/>
  <c r="A701" i="5"/>
  <c r="A704" i="5" s="1"/>
  <c r="A707" i="5" s="1"/>
  <c r="A710" i="5" s="1"/>
  <c r="A700" i="5"/>
  <c r="A703" i="5" s="1"/>
  <c r="A706" i="5" s="1"/>
  <c r="A709" i="5" s="1"/>
  <c r="A708" i="5"/>
  <c r="A705" i="5"/>
  <c r="A702" i="5"/>
  <c r="A699" i="5"/>
  <c r="A696" i="5"/>
  <c r="A85" i="5"/>
  <c r="A91" i="5" s="1"/>
  <c r="A97" i="5" s="1"/>
  <c r="A103" i="5" s="1"/>
  <c r="A721" i="5"/>
  <c r="A727" i="5" s="1"/>
  <c r="A733" i="5" s="1"/>
  <c r="A739" i="5" s="1"/>
  <c r="A722" i="5"/>
  <c r="A728" i="5" s="1"/>
  <c r="A734" i="5" s="1"/>
  <c r="A740" i="5" s="1"/>
  <c r="A723" i="5"/>
  <c r="A729" i="5" s="1"/>
  <c r="A735" i="5" s="1"/>
  <c r="A741" i="5" s="1"/>
  <c r="A720" i="5"/>
  <c r="A726" i="5" s="1"/>
  <c r="A732" i="5" s="1"/>
  <c r="A738" i="5" s="1"/>
  <c r="D26" i="5" l="1"/>
  <c r="A89" i="5"/>
  <c r="A95" i="5" s="1"/>
  <c r="A101" i="5" s="1"/>
  <c r="A107" i="5" s="1"/>
  <c r="D50" i="5"/>
  <c r="A87" i="5"/>
  <c r="A93" i="5" s="1"/>
  <c r="A99" i="5" s="1"/>
  <c r="A105" i="5" s="1"/>
  <c r="A88" i="5"/>
  <c r="A94" i="5" s="1"/>
  <c r="A100" i="5" s="1"/>
  <c r="A106" i="5" s="1"/>
  <c r="A86" i="5"/>
  <c r="A92" i="5" s="1"/>
  <c r="A98" i="5" s="1"/>
  <c r="A104" i="5" s="1"/>
  <c r="D44" i="5"/>
  <c r="A754" i="5"/>
  <c r="A761" i="5" s="1"/>
  <c r="A768" i="5" s="1"/>
  <c r="A775" i="5" s="1"/>
  <c r="A755" i="5"/>
  <c r="A762" i="5" s="1"/>
  <c r="A769" i="5" s="1"/>
  <c r="A776" i="5" s="1"/>
  <c r="A756" i="5"/>
  <c r="A763" i="5" s="1"/>
  <c r="A770" i="5" s="1"/>
  <c r="A777" i="5" s="1"/>
  <c r="A757" i="5"/>
  <c r="A764" i="5" s="1"/>
  <c r="A771" i="5" s="1"/>
  <c r="A778" i="5" s="1"/>
  <c r="A753" i="5"/>
  <c r="A760" i="5" s="1"/>
  <c r="A767" i="5" s="1"/>
  <c r="A774" i="5" s="1"/>
  <c r="A117" i="5"/>
  <c r="A122" i="5" s="1"/>
  <c r="A127" i="5" s="1"/>
  <c r="A132" i="5" s="1"/>
  <c r="A118" i="5"/>
  <c r="A123" i="5" s="1"/>
  <c r="A128" i="5" s="1"/>
  <c r="A133" i="5" s="1"/>
  <c r="A119" i="5"/>
  <c r="A124" i="5" s="1"/>
  <c r="A129" i="5" s="1"/>
  <c r="A134" i="5" s="1"/>
  <c r="A116" i="5"/>
  <c r="A121" i="5" s="1"/>
  <c r="A126" i="5" s="1"/>
  <c r="A131" i="5" s="1"/>
  <c r="D36" i="5"/>
  <c r="E36" i="5"/>
  <c r="D30" i="5"/>
  <c r="D24" i="5"/>
  <c r="E24" i="5"/>
  <c r="D18" i="5"/>
  <c r="A47" i="5"/>
  <c r="A53" i="5" s="1"/>
  <c r="A59" i="5" s="1"/>
  <c r="A65" i="5" s="1"/>
  <c r="A48" i="5"/>
  <c r="A54" i="5" s="1"/>
  <c r="A60" i="5" s="1"/>
  <c r="A66" i="5" s="1"/>
  <c r="A49" i="5"/>
  <c r="A55" i="5" s="1"/>
  <c r="A61" i="5" s="1"/>
  <c r="A67" i="5" s="1"/>
  <c r="A50" i="5"/>
  <c r="A56" i="5" s="1"/>
  <c r="A62" i="5" s="1"/>
  <c r="A68" i="5" s="1"/>
  <c r="A46" i="5"/>
  <c r="A52" i="5" s="1"/>
  <c r="A58" i="5" s="1"/>
  <c r="A64" i="5" s="1"/>
  <c r="A15" i="5"/>
  <c r="A21" i="5" s="1"/>
  <c r="A27" i="5" s="1"/>
  <c r="A33" i="5" s="1"/>
  <c r="A16" i="5"/>
  <c r="A22" i="5" s="1"/>
  <c r="A28" i="5" s="1"/>
  <c r="A34" i="5" s="1"/>
  <c r="A17" i="5"/>
  <c r="A23" i="5" s="1"/>
  <c r="A29" i="5" s="1"/>
  <c r="A35" i="5" s="1"/>
  <c r="A18" i="5"/>
  <c r="A24" i="5" s="1"/>
  <c r="A30" i="5" s="1"/>
  <c r="A36" i="5" s="1"/>
  <c r="A14" i="5"/>
  <c r="A20" i="5" s="1"/>
  <c r="A26" i="5" s="1"/>
  <c r="A32" i="5" s="1"/>
  <c r="D12" i="5"/>
  <c r="D112" i="5" l="1"/>
  <c r="D114" i="5"/>
  <c r="D113" i="5"/>
  <c r="D111" i="5"/>
  <c r="A246" i="5" l="1"/>
  <c r="A240" i="5"/>
  <c r="A234" i="5"/>
  <c r="A228" i="5"/>
  <c r="A222" i="5"/>
  <c r="A214" i="5"/>
  <c r="A208" i="5"/>
  <c r="A202" i="5"/>
  <c r="A196" i="5"/>
  <c r="A190" i="5"/>
  <c r="A182" i="5"/>
  <c r="A176" i="5"/>
  <c r="A170" i="5"/>
  <c r="A164" i="5"/>
  <c r="A158" i="5"/>
  <c r="A27" i="4" l="1"/>
  <c r="A26" i="4"/>
  <c r="A22" i="4"/>
  <c r="A21" i="4"/>
  <c r="A20" i="4"/>
  <c r="A19" i="4"/>
  <c r="A311" i="5" l="1"/>
  <c r="A305" i="5"/>
  <c r="A299" i="5"/>
  <c r="A293" i="5"/>
  <c r="A287" i="5"/>
  <c r="D106" i="5" l="1"/>
  <c r="D67" i="5" s="1"/>
  <c r="D105" i="5"/>
  <c r="D66" i="5" s="1"/>
  <c r="D104" i="5"/>
  <c r="D65" i="5" s="1"/>
  <c r="D100" i="5"/>
  <c r="D61" i="5" s="1"/>
  <c r="D99" i="5"/>
  <c r="D60" i="5" s="1"/>
  <c r="D98" i="5"/>
  <c r="D94" i="5"/>
  <c r="D55" i="5" s="1"/>
  <c r="D93" i="5"/>
  <c r="D54" i="5" s="1"/>
  <c r="D92" i="5"/>
  <c r="D87" i="5"/>
  <c r="D48" i="5" s="1"/>
  <c r="D88" i="5"/>
  <c r="D49" i="5" s="1"/>
  <c r="D86" i="5"/>
  <c r="D81" i="5"/>
  <c r="D42" i="5" s="1"/>
  <c r="D82" i="5"/>
  <c r="D80" i="5"/>
  <c r="D43" i="5"/>
  <c r="E34" i="5"/>
  <c r="E35" i="5"/>
  <c r="D34" i="5"/>
  <c r="D35" i="5"/>
  <c r="D33" i="5"/>
  <c r="D32" i="5"/>
  <c r="D28" i="5"/>
  <c r="D29" i="5"/>
  <c r="D27" i="5"/>
  <c r="A737" i="5"/>
  <c r="A731" i="5"/>
  <c r="A686" i="5"/>
  <c r="A677" i="5"/>
  <c r="A639" i="5"/>
  <c r="A629" i="5"/>
  <c r="A613" i="5"/>
  <c r="A623" i="5" s="1"/>
  <c r="A633" i="5" s="1"/>
  <c r="A643" i="5" s="1"/>
  <c r="A773" i="5"/>
  <c r="A766" i="5"/>
  <c r="D53" i="5" l="1"/>
  <c r="D59" i="5"/>
  <c r="D41" i="5"/>
  <c r="D47" i="5"/>
  <c r="D133" i="5"/>
  <c r="D132" i="5"/>
  <c r="D134" i="5"/>
  <c r="D131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123" i="5" l="1"/>
  <c r="D122" i="5"/>
  <c r="D124" i="5"/>
  <c r="D117" i="5"/>
  <c r="D119" i="5"/>
  <c r="D118" i="5"/>
  <c r="D116" i="5"/>
  <c r="D121" i="5"/>
  <c r="A759" i="5" l="1"/>
  <c r="A752" i="5"/>
  <c r="A745" i="5"/>
  <c r="A668" i="5"/>
  <c r="A659" i="5"/>
  <c r="A650" i="5"/>
  <c r="A619" i="5"/>
  <c r="A609" i="5"/>
  <c r="A599" i="5"/>
  <c r="A37" i="4"/>
  <c r="A36" i="4"/>
  <c r="A35" i="4"/>
  <c r="A34" i="4"/>
  <c r="A33" i="4"/>
  <c r="A343" i="5" l="1"/>
  <c r="A337" i="5"/>
  <c r="A331" i="5"/>
  <c r="A325" i="5"/>
  <c r="A319" i="5"/>
  <c r="A610" i="5" l="1"/>
  <c r="A620" i="5" s="1"/>
  <c r="A630" i="5" s="1"/>
  <c r="A640" i="5" s="1"/>
  <c r="A611" i="5"/>
  <c r="A621" i="5" s="1"/>
  <c r="A631" i="5" s="1"/>
  <c r="A641" i="5" s="1"/>
  <c r="A612" i="5"/>
  <c r="A622" i="5" s="1"/>
  <c r="A632" i="5" s="1"/>
  <c r="A642" i="5" s="1"/>
  <c r="A595" i="5" l="1"/>
  <c r="A416" i="5"/>
  <c r="A586" i="5"/>
  <c r="A593" i="5"/>
  <c r="A587" i="5"/>
  <c r="A594" i="5"/>
  <c r="A581" i="5"/>
  <c r="A588" i="5"/>
  <c r="A572" i="5"/>
  <c r="A579" i="5"/>
  <c r="A573" i="5"/>
  <c r="A580" i="5"/>
  <c r="A567" i="5"/>
  <c r="A574" i="5"/>
  <c r="A557" i="5"/>
  <c r="A565" i="5"/>
  <c r="A558" i="5"/>
  <c r="A566" i="5"/>
  <c r="A552" i="5"/>
  <c r="A559" i="5"/>
  <c r="A543" i="5"/>
  <c r="A550" i="5"/>
  <c r="A544" i="5"/>
  <c r="A551" i="5"/>
  <c r="A538" i="5"/>
  <c r="A545" i="5"/>
  <c r="A529" i="5"/>
  <c r="A536" i="5"/>
  <c r="A530" i="5"/>
  <c r="A537" i="5"/>
  <c r="A516" i="5"/>
  <c r="A531" i="5"/>
  <c r="A507" i="5"/>
  <c r="A514" i="5"/>
  <c r="A508" i="5"/>
  <c r="A515" i="5"/>
  <c r="A502" i="5"/>
  <c r="A509" i="5"/>
  <c r="A493" i="5"/>
  <c r="A500" i="5"/>
  <c r="A494" i="5"/>
  <c r="A501" i="5"/>
  <c r="A488" i="5"/>
  <c r="A495" i="5"/>
  <c r="A478" i="5"/>
  <c r="A486" i="5"/>
  <c r="A479" i="5"/>
  <c r="A487" i="5"/>
  <c r="A473" i="5"/>
  <c r="A480" i="5"/>
  <c r="A464" i="5"/>
  <c r="A471" i="5"/>
  <c r="A465" i="5"/>
  <c r="A472" i="5"/>
  <c r="A459" i="5"/>
  <c r="A466" i="5"/>
  <c r="A450" i="5"/>
  <c r="A457" i="5"/>
  <c r="A451" i="5"/>
  <c r="A458" i="5"/>
  <c r="A444" i="5"/>
  <c r="A452" i="5"/>
  <c r="A435" i="5"/>
  <c r="A442" i="5"/>
  <c r="A436" i="5"/>
  <c r="A443" i="5"/>
  <c r="A430" i="5"/>
  <c r="A437" i="5"/>
  <c r="A421" i="5"/>
  <c r="A428" i="5"/>
  <c r="A422" i="5"/>
  <c r="A429" i="5"/>
  <c r="A338" i="21"/>
  <c r="A423" i="5"/>
  <c r="A330" i="21"/>
  <c r="A336" i="21"/>
  <c r="A331" i="21"/>
  <c r="A337" i="21"/>
  <c r="A326" i="21"/>
  <c r="A332" i="21"/>
  <c r="A318" i="21"/>
  <c r="A324" i="21"/>
  <c r="A319" i="21"/>
  <c r="A325" i="21"/>
  <c r="A314" i="21"/>
  <c r="A320" i="21"/>
  <c r="A305" i="21"/>
  <c r="A312" i="21"/>
  <c r="A306" i="21"/>
  <c r="A313" i="21"/>
  <c r="A301" i="21"/>
  <c r="A307" i="21"/>
  <c r="A293" i="21"/>
  <c r="A299" i="21"/>
  <c r="A294" i="21"/>
  <c r="A300" i="21"/>
  <c r="A289" i="21"/>
  <c r="A295" i="21"/>
  <c r="A282" i="21"/>
  <c r="A288" i="21"/>
  <c r="A281" i="21"/>
  <c r="A287" i="21"/>
  <c r="A269" i="21"/>
  <c r="A102" i="21" s="1"/>
  <c r="A283" i="21"/>
  <c r="A261" i="21"/>
  <c r="A94" i="21" s="1"/>
  <c r="A267" i="21"/>
  <c r="A262" i="21"/>
  <c r="A95" i="21" s="1"/>
  <c r="A268" i="21"/>
  <c r="A257" i="21"/>
  <c r="A90" i="21" s="1"/>
  <c r="A263" i="21"/>
  <c r="A96" i="21" s="1"/>
  <c r="A249" i="21"/>
  <c r="A82" i="21" s="1"/>
  <c r="A255" i="21"/>
  <c r="A88" i="21" s="1"/>
  <c r="A250" i="21"/>
  <c r="A83" i="21" s="1"/>
  <c r="A256" i="21"/>
  <c r="A89" i="21" s="1"/>
  <c r="A245" i="21"/>
  <c r="A78" i="21" s="1"/>
  <c r="A251" i="21"/>
  <c r="A84" i="21" s="1"/>
  <c r="A236" i="21"/>
  <c r="A69" i="21" s="1"/>
  <c r="A243" i="21"/>
  <c r="A237" i="21"/>
  <c r="A244" i="21"/>
  <c r="A232" i="21"/>
  <c r="A65" i="21" s="1"/>
  <c r="A238" i="21"/>
  <c r="A71" i="21" s="1"/>
  <c r="A225" i="21"/>
  <c r="A58" i="21" s="1"/>
  <c r="A231" i="21"/>
  <c r="A64" i="21" s="1"/>
  <c r="A224" i="21"/>
  <c r="A230" i="21"/>
  <c r="A63" i="21" s="1"/>
  <c r="A220" i="21"/>
  <c r="A53" i="21" s="1"/>
  <c r="A226" i="21"/>
  <c r="A59" i="21" s="1"/>
  <c r="A212" i="21"/>
  <c r="A45" i="21" s="1"/>
  <c r="A218" i="21"/>
  <c r="A51" i="21" s="1"/>
  <c r="A213" i="21"/>
  <c r="A46" i="21" s="1"/>
  <c r="A219" i="21"/>
  <c r="A52" i="21" s="1"/>
  <c r="A207" i="21"/>
  <c r="A39" i="21" s="1"/>
  <c r="A214" i="21"/>
  <c r="A47" i="21" s="1"/>
  <c r="A199" i="21"/>
  <c r="A31" i="21" s="1"/>
  <c r="A205" i="21"/>
  <c r="A37" i="21" s="1"/>
  <c r="A200" i="21"/>
  <c r="A32" i="21" s="1"/>
  <c r="A206" i="21"/>
  <c r="A38" i="21" s="1"/>
  <c r="A183" i="21"/>
  <c r="A15" i="21" s="1"/>
  <c r="A201" i="21"/>
  <c r="A33" i="21" s="1"/>
  <c r="A189" i="21"/>
  <c r="A21" i="21" s="1"/>
  <c r="A195" i="21"/>
  <c r="A27" i="21" s="1"/>
  <c r="A415" i="5"/>
  <c r="A77" i="21"/>
  <c r="A194" i="21"/>
  <c r="A26" i="21" s="1"/>
  <c r="A182" i="21"/>
  <c r="A14" i="21" s="1"/>
  <c r="A70" i="21"/>
  <c r="A188" i="21"/>
  <c r="A20" i="21" s="1"/>
  <c r="A414" i="5"/>
  <c r="A76" i="21"/>
  <c r="A193" i="21"/>
  <c r="A25" i="21" s="1"/>
  <c r="A181" i="21"/>
  <c r="A13" i="21" s="1"/>
  <c r="A57" i="21"/>
  <c r="A187" i="21"/>
  <c r="A19" i="21" s="1"/>
  <c r="A87" i="21"/>
  <c r="A75" i="21"/>
  <c r="A62" i="21"/>
  <c r="A50" i="21"/>
  <c r="A36" i="21"/>
  <c r="A24" i="21"/>
  <c r="A12" i="21"/>
  <c r="A93" i="21"/>
  <c r="A81" i="21"/>
  <c r="A68" i="21"/>
  <c r="A56" i="21"/>
  <c r="A44" i="21"/>
  <c r="A30" i="21"/>
  <c r="A18" i="21"/>
  <c r="A277" i="5"/>
  <c r="A265" i="5"/>
  <c r="A283" i="5"/>
  <c r="A271" i="5"/>
  <c r="A259" i="5"/>
  <c r="A278" i="5"/>
  <c r="A266" i="5"/>
  <c r="A284" i="5"/>
  <c r="A272" i="5"/>
  <c r="A260" i="5"/>
  <c r="A276" i="5"/>
  <c r="A264" i="5"/>
  <c r="A282" i="5"/>
  <c r="A270" i="5"/>
  <c r="A258" i="5"/>
  <c r="A275" i="5"/>
  <c r="A263" i="5"/>
  <c r="A281" i="5"/>
  <c r="A269" i="5"/>
  <c r="A257" i="5"/>
  <c r="A242" i="5"/>
  <c r="A230" i="5"/>
  <c r="A248" i="5"/>
  <c r="A236" i="5"/>
  <c r="A224" i="5"/>
  <c r="A244" i="5"/>
  <c r="A232" i="5"/>
  <c r="A250" i="5"/>
  <c r="A238" i="5"/>
  <c r="A226" i="5"/>
  <c r="A243" i="5"/>
  <c r="A231" i="5"/>
  <c r="A249" i="5"/>
  <c r="A237" i="5"/>
  <c r="A225" i="5"/>
  <c r="A245" i="5"/>
  <c r="A233" i="5"/>
  <c r="A251" i="5"/>
  <c r="A239" i="5"/>
  <c r="A227" i="5"/>
  <c r="A210" i="5"/>
  <c r="A198" i="5"/>
  <c r="A216" i="5"/>
  <c r="A204" i="5"/>
  <c r="A192" i="5"/>
  <c r="A212" i="5"/>
  <c r="A200" i="5"/>
  <c r="A218" i="5"/>
  <c r="A206" i="5"/>
  <c r="A194" i="5"/>
  <c r="A211" i="5"/>
  <c r="A199" i="5"/>
  <c r="A217" i="5"/>
  <c r="A205" i="5"/>
  <c r="A193" i="5"/>
  <c r="A213" i="5"/>
  <c r="A201" i="5"/>
  <c r="A219" i="5"/>
  <c r="A207" i="5"/>
  <c r="A195" i="5"/>
  <c r="A178" i="5"/>
  <c r="A166" i="5"/>
  <c r="A184" i="5"/>
  <c r="A172" i="5"/>
  <c r="A160" i="5"/>
  <c r="A180" i="5"/>
  <c r="A168" i="5"/>
  <c r="A186" i="5"/>
  <c r="A174" i="5"/>
  <c r="A162" i="5"/>
  <c r="A179" i="5"/>
  <c r="A167" i="5"/>
  <c r="A185" i="5"/>
  <c r="A173" i="5"/>
  <c r="A161" i="5"/>
  <c r="A181" i="5"/>
  <c r="A169" i="5"/>
  <c r="A187" i="5"/>
  <c r="A175" i="5"/>
  <c r="A163" i="5"/>
  <c r="A307" i="5"/>
  <c r="A295" i="5"/>
  <c r="A313" i="5"/>
  <c r="A301" i="5"/>
  <c r="A289" i="5"/>
  <c r="A309" i="5"/>
  <c r="A297" i="5"/>
  <c r="A315" i="5"/>
  <c r="A303" i="5"/>
  <c r="A291" i="5"/>
  <c r="A308" i="5"/>
  <c r="A296" i="5"/>
  <c r="A314" i="5"/>
  <c r="A302" i="5"/>
  <c r="A290" i="5"/>
  <c r="A310" i="5"/>
  <c r="A298" i="5"/>
  <c r="A316" i="5"/>
  <c r="A304" i="5"/>
  <c r="A292" i="5"/>
  <c r="A346" i="5"/>
  <c r="A340" i="5"/>
  <c r="A328" i="5"/>
  <c r="A334" i="5"/>
  <c r="A322" i="5"/>
  <c r="A329" i="5"/>
  <c r="A347" i="5"/>
  <c r="A341" i="5"/>
  <c r="A335" i="5"/>
  <c r="A323" i="5"/>
  <c r="A348" i="5"/>
  <c r="A342" i="5"/>
  <c r="A330" i="5"/>
  <c r="A336" i="5"/>
  <c r="A324" i="5"/>
  <c r="A327" i="5"/>
  <c r="H327" i="5" s="1"/>
  <c r="A345" i="5"/>
  <c r="H345" i="5" s="1"/>
  <c r="A339" i="5"/>
  <c r="H339" i="5" s="1"/>
  <c r="A333" i="5"/>
  <c r="H333" i="5" s="1"/>
  <c r="A321" i="5"/>
  <c r="H321" i="5" s="1"/>
  <c r="G201" i="5" l="1"/>
  <c r="F201" i="5"/>
  <c r="E201" i="5"/>
  <c r="D201" i="5"/>
  <c r="H201" i="5"/>
  <c r="F217" i="5"/>
  <c r="G217" i="5"/>
  <c r="H217" i="5"/>
  <c r="D217" i="5"/>
  <c r="E217" i="5"/>
  <c r="G211" i="5"/>
  <c r="H211" i="5"/>
  <c r="D211" i="5"/>
  <c r="E211" i="5"/>
  <c r="F211" i="5"/>
  <c r="D200" i="5"/>
  <c r="H200" i="5"/>
  <c r="G200" i="5"/>
  <c r="F200" i="5"/>
  <c r="E200" i="5"/>
  <c r="G216" i="5"/>
  <c r="H216" i="5"/>
  <c r="D216" i="5"/>
  <c r="E216" i="5"/>
  <c r="F216" i="5"/>
  <c r="H210" i="5"/>
  <c r="D210" i="5"/>
  <c r="E210" i="5"/>
  <c r="F210" i="5"/>
  <c r="G210" i="5"/>
  <c r="H219" i="5"/>
  <c r="D219" i="5"/>
  <c r="E219" i="5"/>
  <c r="F219" i="5"/>
  <c r="G219" i="5"/>
  <c r="E213" i="5"/>
  <c r="F213" i="5"/>
  <c r="G213" i="5"/>
  <c r="H213" i="5"/>
  <c r="D213" i="5"/>
  <c r="E199" i="5"/>
  <c r="D199" i="5"/>
  <c r="H199" i="5"/>
  <c r="G199" i="5"/>
  <c r="F199" i="5"/>
  <c r="E218" i="5"/>
  <c r="F218" i="5"/>
  <c r="G218" i="5"/>
  <c r="H218" i="5"/>
  <c r="D218" i="5"/>
  <c r="F212" i="5"/>
  <c r="G212" i="5"/>
  <c r="H212" i="5"/>
  <c r="D212" i="5"/>
  <c r="E212" i="5"/>
  <c r="F198" i="5"/>
  <c r="E198" i="5"/>
  <c r="D198" i="5"/>
  <c r="H198" i="5"/>
  <c r="G198" i="5"/>
  <c r="D179" i="5"/>
  <c r="E179" i="5"/>
  <c r="G179" i="5"/>
  <c r="F179" i="5"/>
  <c r="H179" i="5"/>
  <c r="E178" i="5"/>
  <c r="G178" i="5"/>
  <c r="F178" i="5"/>
  <c r="H178" i="5"/>
  <c r="D181" i="5"/>
  <c r="E181" i="5"/>
  <c r="G181" i="5"/>
  <c r="F181" i="5"/>
  <c r="H181" i="5"/>
  <c r="D180" i="5"/>
  <c r="E180" i="5"/>
  <c r="G180" i="5"/>
  <c r="F180" i="5"/>
  <c r="H180" i="5"/>
  <c r="D178" i="5"/>
  <c r="H328" i="5"/>
  <c r="H323" i="5"/>
  <c r="H334" i="5"/>
  <c r="H342" i="5"/>
  <c r="H341" i="5"/>
  <c r="H340" i="5"/>
  <c r="H348" i="5"/>
  <c r="H347" i="5"/>
  <c r="H346" i="5"/>
  <c r="F348" i="5"/>
  <c r="G348" i="5"/>
  <c r="D348" i="5"/>
  <c r="E348" i="5"/>
  <c r="F347" i="5"/>
  <c r="G347" i="5"/>
  <c r="D347" i="5"/>
  <c r="E347" i="5"/>
  <c r="F346" i="5"/>
  <c r="G346" i="5"/>
  <c r="D346" i="5"/>
  <c r="E346" i="5"/>
  <c r="F345" i="5"/>
  <c r="G345" i="5"/>
  <c r="D345" i="5"/>
  <c r="E345" i="5"/>
  <c r="F342" i="5"/>
  <c r="G342" i="5"/>
  <c r="D342" i="5"/>
  <c r="E342" i="5"/>
  <c r="F341" i="5"/>
  <c r="G341" i="5"/>
  <c r="H330" i="5"/>
  <c r="H335" i="5"/>
  <c r="D341" i="5"/>
  <c r="E341" i="5"/>
  <c r="F340" i="5"/>
  <c r="G340" i="5"/>
  <c r="D340" i="5"/>
  <c r="E340" i="5"/>
  <c r="F339" i="5"/>
  <c r="G339" i="5"/>
  <c r="D339" i="5"/>
  <c r="E339" i="5"/>
  <c r="H336" i="5"/>
  <c r="F336" i="5"/>
  <c r="G336" i="5"/>
  <c r="D336" i="5"/>
  <c r="E336" i="5"/>
  <c r="F335" i="5"/>
  <c r="G335" i="5"/>
  <c r="D335" i="5"/>
  <c r="E335" i="5"/>
  <c r="F334" i="5"/>
  <c r="G334" i="5"/>
  <c r="D334" i="5"/>
  <c r="E334" i="5"/>
  <c r="F333" i="5"/>
  <c r="G333" i="5"/>
  <c r="D333" i="5"/>
  <c r="E333" i="5"/>
  <c r="F330" i="5"/>
  <c r="G330" i="5"/>
  <c r="D330" i="5"/>
  <c r="E330" i="5"/>
  <c r="H329" i="5"/>
  <c r="F329" i="5"/>
  <c r="G329" i="5"/>
  <c r="D329" i="5"/>
  <c r="E329" i="5"/>
  <c r="F328" i="5"/>
  <c r="G328" i="5"/>
  <c r="D328" i="5"/>
  <c r="E328" i="5"/>
  <c r="F327" i="5"/>
  <c r="G327" i="5"/>
  <c r="D327" i="5"/>
  <c r="E327" i="5"/>
  <c r="H324" i="5"/>
  <c r="H322" i="5"/>
  <c r="F324" i="5"/>
  <c r="G324" i="5"/>
  <c r="D324" i="5"/>
  <c r="E324" i="5"/>
  <c r="F323" i="5"/>
  <c r="G323" i="5"/>
  <c r="D323" i="5"/>
  <c r="E323" i="5"/>
  <c r="F322" i="5"/>
  <c r="G322" i="5"/>
  <c r="D322" i="5"/>
  <c r="E322" i="5"/>
  <c r="F321" i="5"/>
  <c r="G321" i="5"/>
  <c r="D321" i="5"/>
  <c r="E321" i="5"/>
  <c r="H195" i="5"/>
  <c r="F195" i="5"/>
  <c r="D195" i="5"/>
  <c r="G195" i="5"/>
  <c r="E195" i="5"/>
  <c r="H205" i="5"/>
  <c r="F205" i="5"/>
  <c r="D205" i="5"/>
  <c r="G205" i="5"/>
  <c r="E205" i="5"/>
  <c r="G194" i="5"/>
  <c r="E194" i="5"/>
  <c r="H194" i="5"/>
  <c r="F194" i="5"/>
  <c r="D194" i="5"/>
  <c r="G204" i="5"/>
  <c r="E204" i="5"/>
  <c r="H204" i="5"/>
  <c r="F204" i="5"/>
  <c r="D204" i="5"/>
  <c r="H207" i="5"/>
  <c r="F207" i="5"/>
  <c r="D207" i="5"/>
  <c r="G207" i="5"/>
  <c r="E207" i="5"/>
  <c r="H193" i="5"/>
  <c r="F193" i="5"/>
  <c r="D193" i="5"/>
  <c r="G193" i="5"/>
  <c r="E193" i="5"/>
  <c r="G206" i="5"/>
  <c r="E206" i="5"/>
  <c r="H206" i="5"/>
  <c r="F206" i="5"/>
  <c r="D206" i="5"/>
  <c r="G192" i="5"/>
  <c r="E192" i="5"/>
  <c r="H192" i="5"/>
  <c r="F192" i="5"/>
  <c r="D192" i="5"/>
  <c r="E314" i="5"/>
  <c r="G314" i="5"/>
  <c r="D314" i="5"/>
  <c r="F314" i="5"/>
  <c r="H314" i="5"/>
  <c r="D313" i="5"/>
  <c r="F313" i="5"/>
  <c r="H313" i="5"/>
  <c r="E313" i="5"/>
  <c r="G313" i="5"/>
  <c r="E316" i="5"/>
  <c r="G316" i="5"/>
  <c r="D316" i="5"/>
  <c r="F316" i="5"/>
  <c r="H316" i="5"/>
  <c r="D315" i="5"/>
  <c r="F315" i="5"/>
  <c r="H315" i="5"/>
  <c r="E315" i="5"/>
  <c r="G315" i="5"/>
  <c r="E310" i="5"/>
  <c r="G310" i="5"/>
  <c r="D310" i="5"/>
  <c r="F310" i="5"/>
  <c r="H310" i="5"/>
  <c r="D309" i="5"/>
  <c r="F309" i="5"/>
  <c r="H309" i="5"/>
  <c r="E309" i="5"/>
  <c r="G309" i="5"/>
  <c r="E308" i="5"/>
  <c r="G308" i="5"/>
  <c r="D308" i="5"/>
  <c r="F308" i="5"/>
  <c r="H308" i="5"/>
  <c r="D307" i="5"/>
  <c r="F307" i="5"/>
  <c r="H307" i="5"/>
  <c r="E307" i="5"/>
  <c r="G307" i="5"/>
  <c r="E302" i="5"/>
  <c r="G302" i="5"/>
  <c r="D302" i="5"/>
  <c r="F302" i="5"/>
  <c r="H302" i="5"/>
  <c r="D301" i="5"/>
  <c r="F301" i="5"/>
  <c r="H301" i="5"/>
  <c r="E301" i="5"/>
  <c r="G301" i="5"/>
  <c r="E304" i="5"/>
  <c r="G304" i="5"/>
  <c r="D304" i="5"/>
  <c r="F304" i="5"/>
  <c r="H304" i="5"/>
  <c r="D303" i="5"/>
  <c r="F303" i="5"/>
  <c r="H303" i="5"/>
  <c r="E303" i="5"/>
  <c r="G303" i="5"/>
  <c r="E296" i="5"/>
  <c r="G296" i="5"/>
  <c r="D296" i="5"/>
  <c r="F296" i="5"/>
  <c r="H296" i="5"/>
  <c r="D295" i="5"/>
  <c r="F295" i="5"/>
  <c r="H295" i="5"/>
  <c r="E295" i="5"/>
  <c r="G295" i="5"/>
  <c r="E298" i="5"/>
  <c r="G298" i="5"/>
  <c r="D298" i="5"/>
  <c r="F298" i="5"/>
  <c r="H298" i="5"/>
  <c r="D297" i="5"/>
  <c r="F297" i="5"/>
  <c r="H297" i="5"/>
  <c r="E297" i="5"/>
  <c r="G297" i="5"/>
  <c r="G290" i="5"/>
  <c r="F290" i="5"/>
  <c r="H290" i="5"/>
  <c r="F289" i="5"/>
  <c r="H289" i="5"/>
  <c r="G289" i="5"/>
  <c r="G292" i="5"/>
  <c r="F292" i="5"/>
  <c r="H292" i="5"/>
  <c r="F291" i="5"/>
  <c r="H291" i="5"/>
  <c r="G291" i="5"/>
  <c r="D290" i="5"/>
  <c r="E290" i="5"/>
  <c r="D289" i="5"/>
  <c r="E289" i="5"/>
  <c r="D292" i="5"/>
  <c r="E292" i="5"/>
  <c r="D291" i="5"/>
  <c r="E291" i="5"/>
  <c r="A116" i="21"/>
  <c r="A101" i="21"/>
  <c r="A100" i="21"/>
  <c r="G185" i="5"/>
  <c r="A99" i="21"/>
  <c r="G175" i="5"/>
  <c r="E175" i="5"/>
  <c r="H175" i="5"/>
  <c r="F175" i="5"/>
  <c r="D175" i="5"/>
  <c r="G161" i="5"/>
  <c r="E161" i="5"/>
  <c r="H161" i="5"/>
  <c r="F161" i="5"/>
  <c r="D161" i="5"/>
  <c r="H160" i="5"/>
  <c r="F160" i="5"/>
  <c r="D160" i="5"/>
  <c r="G160" i="5"/>
  <c r="E160" i="5"/>
  <c r="H169" i="5"/>
  <c r="F169" i="5"/>
  <c r="D169" i="5"/>
  <c r="G169" i="5"/>
  <c r="E169" i="5"/>
  <c r="F185" i="5"/>
  <c r="H174" i="5"/>
  <c r="F174" i="5"/>
  <c r="D174" i="5"/>
  <c r="G174" i="5"/>
  <c r="E174" i="5"/>
  <c r="G168" i="5"/>
  <c r="E168" i="5"/>
  <c r="H168" i="5"/>
  <c r="F168" i="5"/>
  <c r="D168" i="5"/>
  <c r="D184" i="5"/>
  <c r="G163" i="5"/>
  <c r="E163" i="5"/>
  <c r="H163" i="5"/>
  <c r="F163" i="5"/>
  <c r="D163" i="5"/>
  <c r="H187" i="5"/>
  <c r="G173" i="5"/>
  <c r="E173" i="5"/>
  <c r="H173" i="5"/>
  <c r="F173" i="5"/>
  <c r="D173" i="5"/>
  <c r="H167" i="5"/>
  <c r="F167" i="5"/>
  <c r="D167" i="5"/>
  <c r="G167" i="5"/>
  <c r="E167" i="5"/>
  <c r="H162" i="5"/>
  <c r="F162" i="5"/>
  <c r="D162" i="5"/>
  <c r="G162" i="5"/>
  <c r="E162" i="5"/>
  <c r="F186" i="5"/>
  <c r="H172" i="5"/>
  <c r="F172" i="5"/>
  <c r="D172" i="5"/>
  <c r="G172" i="5"/>
  <c r="E172" i="5"/>
  <c r="G166" i="5"/>
  <c r="E166" i="5"/>
  <c r="H166" i="5"/>
  <c r="F166" i="5"/>
  <c r="D166" i="5"/>
  <c r="B2" i="6"/>
  <c r="A122" i="21" l="1"/>
  <c r="G186" i="5"/>
  <c r="D187" i="5"/>
  <c r="G187" i="5"/>
  <c r="E184" i="5"/>
  <c r="H184" i="5"/>
  <c r="E185" i="5"/>
  <c r="A115" i="21"/>
  <c r="E186" i="5"/>
  <c r="D186" i="5"/>
  <c r="H186" i="5"/>
  <c r="F187" i="5"/>
  <c r="E187" i="5"/>
  <c r="G184" i="5"/>
  <c r="F184" i="5"/>
  <c r="D185" i="5"/>
  <c r="H185" i="5"/>
  <c r="A114" i="21"/>
  <c r="A113" i="21"/>
  <c r="A274" i="5"/>
  <c r="A262" i="5"/>
  <c r="A280" i="5"/>
  <c r="A268" i="5"/>
  <c r="A256" i="5"/>
  <c r="A241" i="5"/>
  <c r="A229" i="5"/>
  <c r="A247" i="5"/>
  <c r="A235" i="5"/>
  <c r="A223" i="5"/>
  <c r="A209" i="5"/>
  <c r="A197" i="5"/>
  <c r="A215" i="5"/>
  <c r="A203" i="5"/>
  <c r="A191" i="5"/>
  <c r="A177" i="5"/>
  <c r="A165" i="5"/>
  <c r="A183" i="5"/>
  <c r="A171" i="5"/>
  <c r="A159" i="5"/>
  <c r="A306" i="5"/>
  <c r="A294" i="5"/>
  <c r="A312" i="5"/>
  <c r="A300" i="5"/>
  <c r="A288" i="5"/>
  <c r="H288" i="5" s="1"/>
  <c r="A344" i="5"/>
  <c r="H344" i="5" s="1"/>
  <c r="A338" i="5"/>
  <c r="H338" i="5" s="1"/>
  <c r="A326" i="5"/>
  <c r="H326" i="5" s="1"/>
  <c r="A332" i="5"/>
  <c r="H332" i="5" s="1"/>
  <c r="A320" i="5"/>
  <c r="H320" i="5" s="1"/>
  <c r="A142" i="5"/>
  <c r="A146" i="5" s="1"/>
  <c r="A150" i="5" s="1"/>
  <c r="A45" i="4"/>
  <c r="A44" i="4"/>
  <c r="A43" i="4"/>
  <c r="A42" i="4"/>
  <c r="A41" i="4"/>
  <c r="H215" i="5" l="1"/>
  <c r="D215" i="5"/>
  <c r="E215" i="5"/>
  <c r="F215" i="5"/>
  <c r="G215" i="5"/>
  <c r="E209" i="5"/>
  <c r="F209" i="5"/>
  <c r="G209" i="5"/>
  <c r="H209" i="5"/>
  <c r="D209" i="5"/>
  <c r="E177" i="5"/>
  <c r="G177" i="5"/>
  <c r="F177" i="5"/>
  <c r="H177" i="5"/>
  <c r="F344" i="5"/>
  <c r="G344" i="5"/>
  <c r="D344" i="5"/>
  <c r="E344" i="5"/>
  <c r="F338" i="5"/>
  <c r="G338" i="5"/>
  <c r="D338" i="5"/>
  <c r="E338" i="5"/>
  <c r="F332" i="5"/>
  <c r="G332" i="5"/>
  <c r="D332" i="5"/>
  <c r="E332" i="5"/>
  <c r="F326" i="5"/>
  <c r="G326" i="5"/>
  <c r="D326" i="5"/>
  <c r="E326" i="5"/>
  <c r="F320" i="5"/>
  <c r="G320" i="5"/>
  <c r="D320" i="5"/>
  <c r="E320" i="5"/>
  <c r="H191" i="5"/>
  <c r="F191" i="5"/>
  <c r="D191" i="5"/>
  <c r="G191" i="5"/>
  <c r="E191" i="5"/>
  <c r="H203" i="5"/>
  <c r="F203" i="5"/>
  <c r="D203" i="5"/>
  <c r="G203" i="5"/>
  <c r="E203" i="5"/>
  <c r="G197" i="5"/>
  <c r="E197" i="5"/>
  <c r="H197" i="5"/>
  <c r="F197" i="5"/>
  <c r="D197" i="5"/>
  <c r="D312" i="5"/>
  <c r="E312" i="5"/>
  <c r="G312" i="5"/>
  <c r="F312" i="5"/>
  <c r="H312" i="5"/>
  <c r="D306" i="5"/>
  <c r="E306" i="5"/>
  <c r="G306" i="5"/>
  <c r="F306" i="5"/>
  <c r="H306" i="5"/>
  <c r="D300" i="5"/>
  <c r="E300" i="5"/>
  <c r="G300" i="5"/>
  <c r="F300" i="5"/>
  <c r="H300" i="5"/>
  <c r="D294" i="5"/>
  <c r="E294" i="5"/>
  <c r="G294" i="5"/>
  <c r="F294" i="5"/>
  <c r="H294" i="5"/>
  <c r="E288" i="5"/>
  <c r="G288" i="5"/>
  <c r="F288" i="5"/>
  <c r="D288" i="5"/>
  <c r="A128" i="21"/>
  <c r="A121" i="21"/>
  <c r="A120" i="21"/>
  <c r="A119" i="21"/>
  <c r="G159" i="5"/>
  <c r="E159" i="5"/>
  <c r="H159" i="5"/>
  <c r="F159" i="5"/>
  <c r="D159" i="5"/>
  <c r="G183" i="5"/>
  <c r="E183" i="5"/>
  <c r="H183" i="5"/>
  <c r="F183" i="5"/>
  <c r="D183" i="5"/>
  <c r="D177" i="5"/>
  <c r="G171" i="5"/>
  <c r="E171" i="5"/>
  <c r="H171" i="5"/>
  <c r="F171" i="5"/>
  <c r="D171" i="5"/>
  <c r="H165" i="5"/>
  <c r="F165" i="5"/>
  <c r="D165" i="5"/>
  <c r="G165" i="5"/>
  <c r="E165" i="5"/>
  <c r="A154" i="5"/>
  <c r="A725" i="5"/>
  <c r="A719" i="5"/>
  <c r="A713" i="5"/>
  <c r="A140" i="21" l="1"/>
  <c r="A134" i="21"/>
  <c r="A127" i="21"/>
  <c r="A126" i="21"/>
  <c r="A125" i="21"/>
  <c r="A63" i="5"/>
  <c r="A57" i="5"/>
  <c r="A51" i="5"/>
  <c r="A45" i="5"/>
  <c r="A39" i="5"/>
  <c r="A153" i="5"/>
  <c r="A149" i="5"/>
  <c r="A145" i="5"/>
  <c r="A141" i="5"/>
  <c r="A18" i="4"/>
  <c r="A25" i="4"/>
  <c r="A28" i="4"/>
  <c r="A29" i="4"/>
  <c r="A102" i="5"/>
  <c r="A96" i="5"/>
  <c r="A90" i="5"/>
  <c r="A84" i="5"/>
  <c r="A78" i="5"/>
  <c r="F147" i="5" l="1"/>
  <c r="E147" i="5"/>
  <c r="G147" i="5"/>
  <c r="H147" i="5"/>
  <c r="A147" i="21"/>
  <c r="H154" i="5"/>
  <c r="F154" i="5"/>
  <c r="D154" i="5"/>
  <c r="G154" i="5"/>
  <c r="E154" i="5"/>
  <c r="E155" i="5"/>
  <c r="F155" i="5"/>
  <c r="D155" i="5"/>
  <c r="G155" i="5"/>
  <c r="H155" i="5"/>
  <c r="G150" i="5"/>
  <c r="E150" i="5"/>
  <c r="H150" i="5"/>
  <c r="F150" i="5"/>
  <c r="D150" i="5"/>
  <c r="E151" i="5"/>
  <c r="D151" i="5"/>
  <c r="F151" i="5"/>
  <c r="G151" i="5"/>
  <c r="H151" i="5"/>
  <c r="H146" i="5"/>
  <c r="F146" i="5"/>
  <c r="D146" i="5"/>
  <c r="G146" i="5"/>
  <c r="E146" i="5"/>
  <c r="D147" i="5"/>
  <c r="G142" i="5"/>
  <c r="E142" i="5"/>
  <c r="H142" i="5"/>
  <c r="F142" i="5"/>
  <c r="D142" i="5"/>
  <c r="E143" i="5"/>
  <c r="D143" i="5"/>
  <c r="F143" i="5"/>
  <c r="G143" i="5"/>
  <c r="H143" i="5"/>
  <c r="E139" i="5"/>
  <c r="D139" i="5"/>
  <c r="F139" i="5"/>
  <c r="G139" i="5"/>
  <c r="H139" i="5"/>
  <c r="A139" i="21"/>
  <c r="A133" i="21"/>
  <c r="A132" i="21"/>
  <c r="A138" i="21"/>
  <c r="A137" i="21"/>
  <c r="A131" i="21"/>
  <c r="A153" i="21" l="1"/>
  <c r="A146" i="21"/>
  <c r="A145" i="21"/>
  <c r="A144" i="21"/>
  <c r="A29" i="2"/>
  <c r="A28" i="2"/>
  <c r="A27" i="2"/>
  <c r="A26" i="2"/>
  <c r="A25" i="2"/>
  <c r="A31" i="2"/>
  <c r="A159" i="21" l="1"/>
  <c r="A152" i="21"/>
  <c r="A151" i="21"/>
  <c r="A150" i="21"/>
  <c r="A165" i="21" l="1"/>
  <c r="A171" i="21"/>
  <c r="A158" i="21"/>
  <c r="A157" i="21"/>
  <c r="A156" i="21"/>
  <c r="A170" i="21" l="1"/>
  <c r="A164" i="21"/>
  <c r="A169" i="21"/>
  <c r="A163" i="21"/>
  <c r="A162" i="21"/>
  <c r="A168" i="21"/>
  <c r="D30" i="4" l="1"/>
  <c r="D162" i="1" l="1"/>
  <c r="D163" i="1"/>
  <c r="D160" i="1"/>
  <c r="D161" i="1"/>
  <c r="D164" i="1"/>
  <c r="F30" i="4"/>
  <c r="H30" i="4"/>
  <c r="E30" i="4"/>
  <c r="G30" i="4"/>
  <c r="E11" i="1" l="1"/>
  <c r="E88" i="1" s="1"/>
  <c r="E15" i="1"/>
  <c r="E92" i="1" s="1"/>
  <c r="E16" i="1"/>
  <c r="E93" i="1" s="1"/>
  <c r="E18" i="1"/>
  <c r="E95" i="1" s="1"/>
  <c r="E17" i="1"/>
  <c r="E94" i="1" s="1"/>
  <c r="E19" i="1"/>
  <c r="E96" i="1" s="1"/>
  <c r="E8" i="1"/>
  <c r="E85" i="1" s="1"/>
  <c r="G11" i="1"/>
  <c r="G88" i="1" s="1"/>
  <c r="G17" i="1"/>
  <c r="G94" i="1" s="1"/>
  <c r="G19" i="1"/>
  <c r="G96" i="1" s="1"/>
  <c r="G15" i="1"/>
  <c r="G92" i="1" s="1"/>
  <c r="G16" i="1"/>
  <c r="G93" i="1" s="1"/>
  <c r="G18" i="1"/>
  <c r="G95" i="1" s="1"/>
  <c r="G8" i="1"/>
  <c r="G85" i="1" s="1"/>
  <c r="H11" i="1"/>
  <c r="H88" i="1" s="1"/>
  <c r="H17" i="1"/>
  <c r="H94" i="1" s="1"/>
  <c r="H19" i="1"/>
  <c r="H96" i="1" s="1"/>
  <c r="H18" i="1"/>
  <c r="H95" i="1" s="1"/>
  <c r="H15" i="1"/>
  <c r="H92" i="1" s="1"/>
  <c r="H16" i="1"/>
  <c r="H93" i="1" s="1"/>
  <c r="H8" i="1"/>
  <c r="H85" i="1" s="1"/>
  <c r="G164" i="1"/>
  <c r="G163" i="1"/>
  <c r="G162" i="1"/>
  <c r="G161" i="1"/>
  <c r="H164" i="1"/>
  <c r="H163" i="1"/>
  <c r="H162" i="1"/>
  <c r="H161" i="1"/>
  <c r="E160" i="1"/>
  <c r="G160" i="1"/>
  <c r="F11" i="1"/>
  <c r="F88" i="1" s="1"/>
  <c r="F19" i="1"/>
  <c r="F96" i="1" s="1"/>
  <c r="F17" i="1"/>
  <c r="F94" i="1" s="1"/>
  <c r="F18" i="1"/>
  <c r="F95" i="1" s="1"/>
  <c r="F16" i="1"/>
  <c r="F93" i="1" s="1"/>
  <c r="F8" i="1"/>
  <c r="F85" i="1" s="1"/>
  <c r="F15" i="1"/>
  <c r="F92" i="1" s="1"/>
  <c r="D11" i="1"/>
  <c r="D88" i="1" s="1"/>
  <c r="D10" i="1"/>
  <c r="D87" i="1" s="1"/>
  <c r="D14" i="1"/>
  <c r="D91" i="1" s="1"/>
  <c r="D9" i="1"/>
  <c r="D86" i="1" s="1"/>
  <c r="D15" i="1"/>
  <c r="D92" i="1" s="1"/>
  <c r="D16" i="1"/>
  <c r="D93" i="1" s="1"/>
  <c r="D18" i="1"/>
  <c r="D95" i="1" s="1"/>
  <c r="D17" i="1"/>
  <c r="D94" i="1" s="1"/>
  <c r="D19" i="1"/>
  <c r="D96" i="1" s="1"/>
  <c r="D8" i="1"/>
  <c r="D85" i="1" s="1"/>
  <c r="E164" i="1"/>
  <c r="E163" i="1"/>
  <c r="E162" i="1"/>
  <c r="E161" i="1"/>
  <c r="F164" i="1"/>
  <c r="F163" i="1"/>
  <c r="F162" i="1"/>
  <c r="F161" i="1"/>
  <c r="H160" i="1"/>
  <c r="F160" i="1"/>
  <c r="E11" i="5"/>
  <c r="E12" i="5"/>
  <c r="D223" i="5"/>
  <c r="D224" i="5"/>
  <c r="D225" i="5"/>
  <c r="D226" i="5"/>
  <c r="D227" i="5"/>
  <c r="H26" i="1" l="1"/>
  <c r="H103" i="1" s="1"/>
  <c r="H32" i="1"/>
  <c r="H109" i="1" s="1"/>
  <c r="H34" i="1"/>
  <c r="H111" i="1" s="1"/>
  <c r="H33" i="1"/>
  <c r="H110" i="1" s="1"/>
  <c r="H31" i="1"/>
  <c r="H108" i="1" s="1"/>
  <c r="H30" i="1"/>
  <c r="H107" i="1" s="1"/>
  <c r="H23" i="1"/>
  <c r="H100" i="1" s="1"/>
  <c r="G41" i="1"/>
  <c r="G118" i="1" s="1"/>
  <c r="G47" i="1"/>
  <c r="G124" i="1" s="1"/>
  <c r="G49" i="1"/>
  <c r="G126" i="1" s="1"/>
  <c r="G48" i="1"/>
  <c r="G125" i="1" s="1"/>
  <c r="G45" i="1"/>
  <c r="G122" i="1" s="1"/>
  <c r="G46" i="1"/>
  <c r="G123" i="1" s="1"/>
  <c r="G38" i="1"/>
  <c r="G115" i="1" s="1"/>
  <c r="D56" i="1"/>
  <c r="D133" i="1" s="1"/>
  <c r="D55" i="1"/>
  <c r="D132" i="1" s="1"/>
  <c r="D54" i="1"/>
  <c r="D131" i="1" s="1"/>
  <c r="D59" i="1"/>
  <c r="D136" i="1" s="1"/>
  <c r="D60" i="1"/>
  <c r="D137" i="1" s="1"/>
  <c r="D61" i="1"/>
  <c r="D138" i="1" s="1"/>
  <c r="D53" i="1"/>
  <c r="D130" i="1" s="1"/>
  <c r="D63" i="1"/>
  <c r="D140" i="1" s="1"/>
  <c r="D62" i="1"/>
  <c r="D139" i="1" s="1"/>
  <c r="D64" i="1"/>
  <c r="D141" i="1" s="1"/>
  <c r="F41" i="1"/>
  <c r="F118" i="1" s="1"/>
  <c r="F49" i="1"/>
  <c r="F126" i="1" s="1"/>
  <c r="F47" i="1"/>
  <c r="F124" i="1" s="1"/>
  <c r="F45" i="1"/>
  <c r="F122" i="1" s="1"/>
  <c r="F46" i="1"/>
  <c r="F123" i="1" s="1"/>
  <c r="F48" i="1"/>
  <c r="F125" i="1" s="1"/>
  <c r="F38" i="1"/>
  <c r="F115" i="1" s="1"/>
  <c r="H41" i="1"/>
  <c r="H118" i="1" s="1"/>
  <c r="H47" i="1"/>
  <c r="H124" i="1" s="1"/>
  <c r="H49" i="1"/>
  <c r="H126" i="1" s="1"/>
  <c r="H46" i="1"/>
  <c r="H123" i="1" s="1"/>
  <c r="H48" i="1"/>
  <c r="H125" i="1" s="1"/>
  <c r="H45" i="1"/>
  <c r="H122" i="1" s="1"/>
  <c r="H38" i="1"/>
  <c r="H115" i="1" s="1"/>
  <c r="H71" i="1"/>
  <c r="H148" i="1" s="1"/>
  <c r="H77" i="1"/>
  <c r="H154" i="1" s="1"/>
  <c r="H79" i="1"/>
  <c r="H156" i="1" s="1"/>
  <c r="H76" i="1"/>
  <c r="H153" i="1" s="1"/>
  <c r="H78" i="1"/>
  <c r="H155" i="1" s="1"/>
  <c r="H75" i="1"/>
  <c r="H152" i="1" s="1"/>
  <c r="H68" i="1"/>
  <c r="H145" i="1" s="1"/>
  <c r="G71" i="1"/>
  <c r="G148" i="1" s="1"/>
  <c r="G77" i="1"/>
  <c r="G154" i="1" s="1"/>
  <c r="G79" i="1"/>
  <c r="G156" i="1" s="1"/>
  <c r="G75" i="1"/>
  <c r="G152" i="1" s="1"/>
  <c r="G76" i="1"/>
  <c r="G153" i="1" s="1"/>
  <c r="G78" i="1"/>
  <c r="G155" i="1" s="1"/>
  <c r="G68" i="1"/>
  <c r="G145" i="1" s="1"/>
  <c r="G56" i="1"/>
  <c r="G133" i="1" s="1"/>
  <c r="G62" i="1"/>
  <c r="G139" i="1" s="1"/>
  <c r="G64" i="1"/>
  <c r="G141" i="1" s="1"/>
  <c r="G61" i="1"/>
  <c r="G138" i="1" s="1"/>
  <c r="G60" i="1"/>
  <c r="G137" i="1" s="1"/>
  <c r="G63" i="1"/>
  <c r="G140" i="1" s="1"/>
  <c r="G53" i="1"/>
  <c r="G130" i="1" s="1"/>
  <c r="E26" i="1"/>
  <c r="E103" i="1" s="1"/>
  <c r="E30" i="1"/>
  <c r="E107" i="1" s="1"/>
  <c r="E31" i="1"/>
  <c r="E108" i="1" s="1"/>
  <c r="E33" i="1"/>
  <c r="E110" i="1" s="1"/>
  <c r="E32" i="1"/>
  <c r="E109" i="1" s="1"/>
  <c r="E34" i="1"/>
  <c r="E111" i="1" s="1"/>
  <c r="E23" i="1"/>
  <c r="E100" i="1" s="1"/>
  <c r="E56" i="1"/>
  <c r="E133" i="1" s="1"/>
  <c r="E60" i="1"/>
  <c r="E137" i="1" s="1"/>
  <c r="E61" i="1"/>
  <c r="E138" i="1" s="1"/>
  <c r="E53" i="1"/>
  <c r="E130" i="1" s="1"/>
  <c r="E63" i="1"/>
  <c r="E140" i="1" s="1"/>
  <c r="E62" i="1"/>
  <c r="E139" i="1" s="1"/>
  <c r="E64" i="1"/>
  <c r="E141" i="1" s="1"/>
  <c r="D41" i="1"/>
  <c r="D118" i="1" s="1"/>
  <c r="D40" i="1"/>
  <c r="D117" i="1" s="1"/>
  <c r="D39" i="1"/>
  <c r="D116" i="1" s="1"/>
  <c r="D44" i="1"/>
  <c r="D121" i="1" s="1"/>
  <c r="D45" i="1"/>
  <c r="D122" i="1" s="1"/>
  <c r="D46" i="1"/>
  <c r="D123" i="1" s="1"/>
  <c r="D48" i="1"/>
  <c r="D125" i="1" s="1"/>
  <c r="D47" i="1"/>
  <c r="D124" i="1" s="1"/>
  <c r="D49" i="1"/>
  <c r="D126" i="1" s="1"/>
  <c r="D38" i="1"/>
  <c r="D115" i="1" s="1"/>
  <c r="D71" i="1"/>
  <c r="D148" i="1" s="1"/>
  <c r="D70" i="1"/>
  <c r="D147" i="1" s="1"/>
  <c r="D69" i="1"/>
  <c r="D146" i="1" s="1"/>
  <c r="D74" i="1"/>
  <c r="D151" i="1" s="1"/>
  <c r="D75" i="1"/>
  <c r="D152" i="1" s="1"/>
  <c r="D76" i="1"/>
  <c r="D153" i="1" s="1"/>
  <c r="D68" i="1"/>
  <c r="D145" i="1" s="1"/>
  <c r="D77" i="1"/>
  <c r="D154" i="1" s="1"/>
  <c r="D78" i="1"/>
  <c r="D155" i="1" s="1"/>
  <c r="D79" i="1"/>
  <c r="D156" i="1" s="1"/>
  <c r="F26" i="1"/>
  <c r="F103" i="1" s="1"/>
  <c r="F34" i="1"/>
  <c r="F111" i="1" s="1"/>
  <c r="F32" i="1"/>
  <c r="F109" i="1" s="1"/>
  <c r="F30" i="1"/>
  <c r="F107" i="1" s="1"/>
  <c r="F31" i="1"/>
  <c r="F108" i="1" s="1"/>
  <c r="F33" i="1"/>
  <c r="F110" i="1" s="1"/>
  <c r="F23" i="1"/>
  <c r="F100" i="1" s="1"/>
  <c r="F71" i="1"/>
  <c r="F148" i="1" s="1"/>
  <c r="F79" i="1"/>
  <c r="F156" i="1" s="1"/>
  <c r="F77" i="1"/>
  <c r="F154" i="1" s="1"/>
  <c r="F75" i="1"/>
  <c r="F152" i="1" s="1"/>
  <c r="F78" i="1"/>
  <c r="F155" i="1" s="1"/>
  <c r="F76" i="1"/>
  <c r="F153" i="1" s="1"/>
  <c r="F68" i="1"/>
  <c r="F145" i="1" s="1"/>
  <c r="H56" i="1"/>
  <c r="H133" i="1" s="1"/>
  <c r="H62" i="1"/>
  <c r="H139" i="1" s="1"/>
  <c r="H64" i="1"/>
  <c r="H141" i="1" s="1"/>
  <c r="H61" i="1"/>
  <c r="H138" i="1" s="1"/>
  <c r="H60" i="1"/>
  <c r="H137" i="1" s="1"/>
  <c r="H63" i="1"/>
  <c r="H140" i="1" s="1"/>
  <c r="H53" i="1"/>
  <c r="H130" i="1" s="1"/>
  <c r="G26" i="1"/>
  <c r="G103" i="1" s="1"/>
  <c r="G32" i="1"/>
  <c r="G109" i="1" s="1"/>
  <c r="G34" i="1"/>
  <c r="G111" i="1" s="1"/>
  <c r="G31" i="1"/>
  <c r="G108" i="1" s="1"/>
  <c r="G33" i="1"/>
  <c r="G110" i="1" s="1"/>
  <c r="G30" i="1"/>
  <c r="G107" i="1" s="1"/>
  <c r="G23" i="1"/>
  <c r="G100" i="1" s="1"/>
  <c r="E41" i="1"/>
  <c r="E118" i="1" s="1"/>
  <c r="E45" i="1"/>
  <c r="E122" i="1" s="1"/>
  <c r="E46" i="1"/>
  <c r="E123" i="1" s="1"/>
  <c r="E48" i="1"/>
  <c r="E125" i="1" s="1"/>
  <c r="E47" i="1"/>
  <c r="E124" i="1" s="1"/>
  <c r="E49" i="1"/>
  <c r="E126" i="1" s="1"/>
  <c r="E38" i="1"/>
  <c r="E115" i="1" s="1"/>
  <c r="E71" i="1"/>
  <c r="E148" i="1" s="1"/>
  <c r="E75" i="1"/>
  <c r="E152" i="1" s="1"/>
  <c r="E76" i="1"/>
  <c r="E153" i="1" s="1"/>
  <c r="E68" i="1"/>
  <c r="E145" i="1" s="1"/>
  <c r="E78" i="1"/>
  <c r="E155" i="1" s="1"/>
  <c r="E77" i="1"/>
  <c r="E154" i="1" s="1"/>
  <c r="E79" i="1"/>
  <c r="E156" i="1" s="1"/>
  <c r="D26" i="1"/>
  <c r="D103" i="1" s="1"/>
  <c r="D25" i="1"/>
  <c r="D102" i="1" s="1"/>
  <c r="D24" i="1"/>
  <c r="D101" i="1" s="1"/>
  <c r="D29" i="1"/>
  <c r="D106" i="1" s="1"/>
  <c r="D30" i="1"/>
  <c r="D107" i="1" s="1"/>
  <c r="D31" i="1"/>
  <c r="D108" i="1" s="1"/>
  <c r="D33" i="1"/>
  <c r="D110" i="1" s="1"/>
  <c r="D32" i="1"/>
  <c r="D109" i="1" s="1"/>
  <c r="D34" i="1"/>
  <c r="D111" i="1" s="1"/>
  <c r="D23" i="1"/>
  <c r="D100" i="1" s="1"/>
  <c r="F56" i="1"/>
  <c r="F133" i="1" s="1"/>
  <c r="F64" i="1"/>
  <c r="F141" i="1" s="1"/>
  <c r="F62" i="1"/>
  <c r="F139" i="1" s="1"/>
  <c r="F61" i="1"/>
  <c r="F138" i="1" s="1"/>
  <c r="F60" i="1"/>
  <c r="F137" i="1" s="1"/>
  <c r="F63" i="1"/>
  <c r="F140" i="1" s="1"/>
  <c r="F53" i="1"/>
  <c r="F130" i="1" s="1"/>
  <c r="D12" i="1"/>
  <c r="D242" i="5"/>
  <c r="D237" i="5"/>
  <c r="D245" i="5"/>
  <c r="D243" i="5"/>
  <c r="D233" i="5"/>
  <c r="D238" i="5"/>
  <c r="D229" i="5"/>
  <c r="D248" i="5"/>
  <c r="D232" i="5"/>
  <c r="D241" i="5"/>
  <c r="D236" i="5"/>
  <c r="D251" i="5"/>
  <c r="D239" i="5"/>
  <c r="D247" i="5"/>
  <c r="D250" i="5"/>
  <c r="D235" i="5"/>
  <c r="D230" i="5"/>
  <c r="D244" i="5"/>
  <c r="D249" i="5"/>
  <c r="D231" i="5"/>
  <c r="G12" i="2" l="1"/>
  <c r="F12" i="2"/>
  <c r="E12" i="2"/>
  <c r="H12" i="2"/>
  <c r="G9" i="2"/>
  <c r="G16" i="2"/>
  <c r="G20" i="2"/>
  <c r="G19" i="2"/>
  <c r="G17" i="2"/>
  <c r="G18" i="2"/>
  <c r="F9" i="2"/>
  <c r="F17" i="2"/>
  <c r="F20" i="2"/>
  <c r="E9" i="2"/>
  <c r="E20" i="2"/>
  <c r="E18" i="2"/>
  <c r="E17" i="2"/>
  <c r="E16" i="2"/>
  <c r="H9" i="2"/>
  <c r="H16" i="2"/>
  <c r="H19" i="2"/>
  <c r="H18" i="2"/>
  <c r="F19" i="2"/>
  <c r="F16" i="2"/>
  <c r="F18" i="2"/>
  <c r="E19" i="2"/>
  <c r="H17" i="2"/>
  <c r="H20" i="2"/>
  <c r="D42" i="1"/>
  <c r="D72" i="1"/>
  <c r="D57" i="1"/>
  <c r="D27" i="1"/>
  <c r="D89" i="1"/>
  <c r="D97" i="1" s="1"/>
  <c r="D20" i="1"/>
  <c r="D134" i="1" l="1"/>
  <c r="D142" i="1" s="1"/>
  <c r="D65" i="1"/>
  <c r="D119" i="1"/>
  <c r="D127" i="1" s="1"/>
  <c r="D50" i="1"/>
  <c r="D104" i="1"/>
  <c r="D112" i="1" s="1"/>
  <c r="D35" i="1"/>
  <c r="D149" i="1"/>
  <c r="D157" i="1" s="1"/>
  <c r="D80" i="1"/>
  <c r="E30" i="5" l="1"/>
  <c r="E29" i="5" l="1"/>
  <c r="E606" i="5" l="1"/>
  <c r="E616" i="5" s="1"/>
  <c r="E626" i="5" s="1"/>
  <c r="E636" i="5" s="1"/>
  <c r="E646" i="5" s="1"/>
  <c r="F606" i="5"/>
  <c r="G606" i="5"/>
  <c r="G616" i="5" s="1"/>
  <c r="H606" i="5"/>
  <c r="H616" i="5" s="1"/>
  <c r="E607" i="5"/>
  <c r="D617" i="5" l="1"/>
  <c r="D627" i="5" s="1"/>
  <c r="D637" i="5" s="1"/>
  <c r="D647" i="5" s="1"/>
  <c r="F607" i="5"/>
  <c r="F616" i="5"/>
  <c r="G607" i="5" l="1"/>
  <c r="E617" i="5"/>
  <c r="G617" i="5" l="1"/>
  <c r="H607" i="5"/>
  <c r="H617" i="5" s="1"/>
  <c r="F617" i="5"/>
  <c r="F12" i="5"/>
  <c r="F11" i="5" l="1"/>
  <c r="G12" i="5"/>
  <c r="F627" i="5"/>
  <c r="F637" i="5" s="1"/>
  <c r="F647" i="5" s="1"/>
  <c r="G627" i="5" s="1"/>
  <c r="G637" i="5" s="1"/>
  <c r="G647" i="5" s="1"/>
  <c r="H627" i="5" s="1"/>
  <c r="H637" i="5" s="1"/>
  <c r="H647" i="5" s="1"/>
  <c r="E627" i="5" s="1"/>
  <c r="E637" i="5" s="1"/>
  <c r="E647" i="5" s="1"/>
  <c r="F626" i="5" s="1"/>
  <c r="H12" i="5" l="1"/>
  <c r="G11" i="5"/>
  <c r="H11" i="5"/>
  <c r="F636" i="5"/>
  <c r="F23" i="5" l="1"/>
  <c r="F646" i="5"/>
  <c r="F24" i="5"/>
  <c r="F29" i="5" l="1"/>
  <c r="G626" i="5"/>
  <c r="F30" i="5"/>
  <c r="F35" i="5" l="1"/>
  <c r="G636" i="5"/>
  <c r="F36" i="5"/>
  <c r="F34" i="5"/>
  <c r="G24" i="5" l="1"/>
  <c r="G23" i="5"/>
  <c r="G646" i="5"/>
  <c r="G30" i="5" l="1"/>
  <c r="G29" i="5"/>
  <c r="H626" i="5"/>
  <c r="G36" i="5" l="1"/>
  <c r="G35" i="5"/>
  <c r="H636" i="5"/>
  <c r="H23" i="5"/>
  <c r="H24" i="5"/>
  <c r="G34" i="5"/>
  <c r="H646" i="5" l="1"/>
  <c r="H30" i="5"/>
  <c r="H29" i="5"/>
  <c r="F657" i="5" l="1"/>
  <c r="H36" i="5"/>
  <c r="H35" i="5"/>
  <c r="H34" i="5"/>
  <c r="G657" i="5" l="1"/>
  <c r="H657" i="5" s="1"/>
  <c r="F666" i="5" l="1"/>
  <c r="H652" i="5"/>
  <c r="G666" i="5"/>
  <c r="H666" i="5" s="1"/>
  <c r="F675" i="5" s="1"/>
  <c r="G675" i="5" l="1"/>
  <c r="H675" i="5" s="1"/>
  <c r="F684" i="5" s="1"/>
  <c r="G684" i="5" l="1"/>
  <c r="H684" i="5" s="1"/>
  <c r="F693" i="5" s="1"/>
  <c r="G693" i="5" l="1"/>
  <c r="H693" i="5" s="1"/>
  <c r="E693" i="5" s="1"/>
  <c r="E684" i="5" s="1"/>
  <c r="E675" i="5" s="1"/>
  <c r="E666" i="5" s="1"/>
  <c r="E657" i="5" s="1"/>
  <c r="F764" i="5" l="1"/>
  <c r="F757" i="5"/>
  <c r="F778" i="5"/>
  <c r="F750" i="5"/>
  <c r="F114" i="5" l="1"/>
  <c r="F113" i="5"/>
  <c r="F112" i="5"/>
  <c r="F111" i="5"/>
  <c r="F133" i="5"/>
  <c r="F134" i="5"/>
  <c r="F131" i="5"/>
  <c r="F132" i="5"/>
  <c r="F117" i="5"/>
  <c r="F118" i="5"/>
  <c r="F119" i="5"/>
  <c r="F116" i="5"/>
  <c r="F123" i="5"/>
  <c r="F124" i="5"/>
  <c r="F122" i="5"/>
  <c r="F121" i="5"/>
  <c r="H750" i="5"/>
  <c r="G750" i="5"/>
  <c r="H778" i="5"/>
  <c r="G778" i="5"/>
  <c r="H757" i="5"/>
  <c r="G757" i="5"/>
  <c r="H764" i="5"/>
  <c r="G764" i="5"/>
  <c r="E764" i="5"/>
  <c r="E757" i="5"/>
  <c r="E778" i="5"/>
  <c r="E15" i="5" l="1"/>
  <c r="E20" i="5"/>
  <c r="E22" i="5"/>
  <c r="E118" i="5"/>
  <c r="E119" i="5"/>
  <c r="E117" i="5"/>
  <c r="E116" i="5"/>
  <c r="E124" i="5"/>
  <c r="E121" i="5"/>
  <c r="E122" i="5"/>
  <c r="E123" i="5"/>
  <c r="G122" i="5"/>
  <c r="G121" i="5"/>
  <c r="G124" i="5"/>
  <c r="G123" i="5"/>
  <c r="G118" i="5"/>
  <c r="G119" i="5"/>
  <c r="G116" i="5"/>
  <c r="G117" i="5"/>
  <c r="G133" i="5"/>
  <c r="G134" i="5"/>
  <c r="G132" i="5"/>
  <c r="G131" i="5"/>
  <c r="G112" i="5"/>
  <c r="G111" i="5"/>
  <c r="G113" i="5"/>
  <c r="G114" i="5"/>
  <c r="E10" i="5"/>
  <c r="E33" i="5"/>
  <c r="E17" i="5"/>
  <c r="E27" i="5"/>
  <c r="E8" i="5"/>
  <c r="E9" i="5"/>
  <c r="E32" i="5"/>
  <c r="E14" i="5"/>
  <c r="E16" i="5"/>
  <c r="E18" i="5"/>
  <c r="E21" i="5"/>
  <c r="E26" i="5"/>
  <c r="E28" i="5"/>
  <c r="E750" i="5"/>
  <c r="E131" i="5"/>
  <c r="E134" i="5"/>
  <c r="E132" i="5"/>
  <c r="E133" i="5"/>
  <c r="H123" i="5"/>
  <c r="H124" i="5"/>
  <c r="H121" i="5"/>
  <c r="H122" i="5"/>
  <c r="H119" i="5"/>
  <c r="H117" i="5"/>
  <c r="H118" i="5"/>
  <c r="H116" i="5"/>
  <c r="H134" i="5"/>
  <c r="H131" i="5"/>
  <c r="H132" i="5"/>
  <c r="H133" i="5"/>
  <c r="H112" i="5"/>
  <c r="H111" i="5"/>
  <c r="H114" i="5"/>
  <c r="H113" i="5"/>
  <c r="G10" i="5" l="1"/>
  <c r="F10" i="5"/>
  <c r="E91" i="5"/>
  <c r="E93" i="5"/>
  <c r="E54" i="5" s="1"/>
  <c r="E95" i="5"/>
  <c r="E56" i="5" s="1"/>
  <c r="F28" i="5"/>
  <c r="F26" i="5"/>
  <c r="F21" i="5"/>
  <c r="F18" i="5"/>
  <c r="F16" i="5"/>
  <c r="F14" i="5"/>
  <c r="F32" i="5"/>
  <c r="F9" i="5"/>
  <c r="F8" i="5"/>
  <c r="F27" i="5"/>
  <c r="F17" i="5"/>
  <c r="F33" i="5"/>
  <c r="F22" i="5"/>
  <c r="F20" i="5"/>
  <c r="F15" i="5"/>
  <c r="E79" i="5"/>
  <c r="E92" i="5"/>
  <c r="E53" i="5" s="1"/>
  <c r="E94" i="5"/>
  <c r="E55" i="5" s="1"/>
  <c r="E113" i="5"/>
  <c r="E112" i="5"/>
  <c r="E111" i="5"/>
  <c r="E114" i="5"/>
  <c r="E24" i="1"/>
  <c r="E69" i="1"/>
  <c r="E39" i="1"/>
  <c r="E771" i="5"/>
  <c r="H10" i="5" l="1"/>
  <c r="E9" i="1"/>
  <c r="E86" i="1" s="1"/>
  <c r="E116" i="1"/>
  <c r="E146" i="1"/>
  <c r="E101" i="1"/>
  <c r="E40" i="5"/>
  <c r="G15" i="5"/>
  <c r="H15" i="5"/>
  <c r="G20" i="5"/>
  <c r="H20" i="5"/>
  <c r="G22" i="5"/>
  <c r="H22" i="5"/>
  <c r="G33" i="5"/>
  <c r="H33" i="5"/>
  <c r="H17" i="5"/>
  <c r="G17" i="5"/>
  <c r="G27" i="5"/>
  <c r="H27" i="5"/>
  <c r="F9" i="1"/>
  <c r="G32" i="5"/>
  <c r="H32" i="5"/>
  <c r="H14" i="5"/>
  <c r="G14" i="5"/>
  <c r="H18" i="5"/>
  <c r="G18" i="5"/>
  <c r="G21" i="5"/>
  <c r="H21" i="5"/>
  <c r="G26" i="5"/>
  <c r="H26" i="5"/>
  <c r="G28" i="5"/>
  <c r="H28" i="5"/>
  <c r="E44" i="1"/>
  <c r="E121" i="1" s="1"/>
  <c r="E52" i="5"/>
  <c r="E126" i="5"/>
  <c r="E128" i="5"/>
  <c r="E127" i="5"/>
  <c r="E129" i="5"/>
  <c r="F771" i="5"/>
  <c r="F94" i="5"/>
  <c r="F55" i="5" s="1"/>
  <c r="F92" i="5"/>
  <c r="F53" i="5" s="1"/>
  <c r="F79" i="5"/>
  <c r="F39" i="1"/>
  <c r="G8" i="5"/>
  <c r="H8" i="5"/>
  <c r="H9" i="5"/>
  <c r="G9" i="5"/>
  <c r="F69" i="1"/>
  <c r="F24" i="1"/>
  <c r="G16" i="5"/>
  <c r="H16" i="5"/>
  <c r="F95" i="5"/>
  <c r="F56" i="5" s="1"/>
  <c r="F93" i="5"/>
  <c r="F54" i="5" s="1"/>
  <c r="F91" i="5"/>
  <c r="G71" i="5"/>
  <c r="H71" i="5"/>
  <c r="G75" i="5"/>
  <c r="H75" i="5"/>
  <c r="G72" i="5"/>
  <c r="H72" i="5"/>
  <c r="G73" i="5"/>
  <c r="H73" i="5"/>
  <c r="G74" i="5"/>
  <c r="H74" i="5"/>
  <c r="F74" i="5"/>
  <c r="F73" i="5"/>
  <c r="F72" i="5"/>
  <c r="F75" i="5"/>
  <c r="F71" i="5"/>
  <c r="H91" i="5" l="1"/>
  <c r="G91" i="5"/>
  <c r="H93" i="5"/>
  <c r="H54" i="5" s="1"/>
  <c r="G93" i="5"/>
  <c r="G54" i="5" s="1"/>
  <c r="H95" i="5"/>
  <c r="H56" i="5" s="1"/>
  <c r="G95" i="5"/>
  <c r="G56" i="5" s="1"/>
  <c r="F146" i="1"/>
  <c r="G9" i="1"/>
  <c r="F116" i="1"/>
  <c r="H79" i="5"/>
  <c r="G79" i="5"/>
  <c r="H92" i="5"/>
  <c r="H53" i="5" s="1"/>
  <c r="G92" i="5"/>
  <c r="G53" i="5" s="1"/>
  <c r="H94" i="5"/>
  <c r="H55" i="5" s="1"/>
  <c r="G94" i="5"/>
  <c r="G55" i="5" s="1"/>
  <c r="H771" i="5"/>
  <c r="G771" i="5"/>
  <c r="E54" i="1"/>
  <c r="H24" i="1"/>
  <c r="G69" i="1"/>
  <c r="H52" i="5"/>
  <c r="H39" i="1"/>
  <c r="F44" i="1"/>
  <c r="F121" i="1" s="1"/>
  <c r="F52" i="5"/>
  <c r="F101" i="1"/>
  <c r="H9" i="1"/>
  <c r="H40" i="5"/>
  <c r="F40" i="5"/>
  <c r="F126" i="5"/>
  <c r="F128" i="5"/>
  <c r="F127" i="5"/>
  <c r="F129" i="5"/>
  <c r="G24" i="1"/>
  <c r="H69" i="1"/>
  <c r="F86" i="1"/>
  <c r="G39" i="1"/>
  <c r="E74" i="5"/>
  <c r="E73" i="5"/>
  <c r="E72" i="5"/>
  <c r="E75" i="5"/>
  <c r="E71" i="5"/>
  <c r="E236" i="5"/>
  <c r="E98" i="5" l="1"/>
  <c r="E59" i="5" s="1"/>
  <c r="E100" i="5"/>
  <c r="E61" i="5" s="1"/>
  <c r="H146" i="1"/>
  <c r="H86" i="1"/>
  <c r="H116" i="1"/>
  <c r="H101" i="1"/>
  <c r="G126" i="5"/>
  <c r="G128" i="5"/>
  <c r="G127" i="5"/>
  <c r="G129" i="5"/>
  <c r="G40" i="5"/>
  <c r="G86" i="1"/>
  <c r="G44" i="1"/>
  <c r="G121" i="1" s="1"/>
  <c r="G52" i="5"/>
  <c r="E97" i="5"/>
  <c r="E99" i="5"/>
  <c r="E60" i="5" s="1"/>
  <c r="E101" i="5"/>
  <c r="E62" i="5" s="1"/>
  <c r="G116" i="1"/>
  <c r="G101" i="1"/>
  <c r="E40" i="1"/>
  <c r="F54" i="1"/>
  <c r="F40" i="1"/>
  <c r="H40" i="1"/>
  <c r="G146" i="1"/>
  <c r="E131" i="1"/>
  <c r="E10" i="2" s="1"/>
  <c r="H126" i="5"/>
  <c r="H127" i="5"/>
  <c r="H129" i="5"/>
  <c r="H128" i="5"/>
  <c r="H44" i="1"/>
  <c r="H121" i="1" s="1"/>
  <c r="H235" i="5"/>
  <c r="H237" i="5"/>
  <c r="F238" i="5"/>
  <c r="F237" i="5"/>
  <c r="E235" i="5"/>
  <c r="H236" i="5"/>
  <c r="E238" i="5"/>
  <c r="E239" i="5"/>
  <c r="F236" i="5"/>
  <c r="H238" i="5"/>
  <c r="H239" i="5"/>
  <c r="F239" i="5"/>
  <c r="F235" i="5"/>
  <c r="E237" i="5"/>
  <c r="E33" i="2" l="1"/>
  <c r="H42" i="1"/>
  <c r="F42" i="1"/>
  <c r="E42" i="1"/>
  <c r="H117" i="1"/>
  <c r="F117" i="1"/>
  <c r="F131" i="1"/>
  <c r="F10" i="2" s="1"/>
  <c r="E117" i="1"/>
  <c r="E59" i="1"/>
  <c r="E136" i="1" s="1"/>
  <c r="E58" i="5"/>
  <c r="G40" i="1"/>
  <c r="G54" i="1"/>
  <c r="F100" i="5"/>
  <c r="F61" i="5" s="1"/>
  <c r="F98" i="5"/>
  <c r="F59" i="5" s="1"/>
  <c r="H54" i="1"/>
  <c r="F101" i="5"/>
  <c r="F62" i="5" s="1"/>
  <c r="F99" i="5"/>
  <c r="F60" i="5" s="1"/>
  <c r="F97" i="5"/>
  <c r="G235" i="5"/>
  <c r="G237" i="5"/>
  <c r="G236" i="5"/>
  <c r="G238" i="5"/>
  <c r="G239" i="5"/>
  <c r="E119" i="1" l="1"/>
  <c r="E127" i="1" s="1"/>
  <c r="H119" i="1"/>
  <c r="F119" i="1"/>
  <c r="F33" i="2"/>
  <c r="E50" i="1"/>
  <c r="H50" i="1"/>
  <c r="F50" i="1"/>
  <c r="G42" i="1"/>
  <c r="H99" i="5"/>
  <c r="H60" i="5" s="1"/>
  <c r="G99" i="5"/>
  <c r="G60" i="5" s="1"/>
  <c r="F59" i="1"/>
  <c r="F136" i="1" s="1"/>
  <c r="F58" i="5"/>
  <c r="H131" i="1"/>
  <c r="H10" i="2" s="1"/>
  <c r="E55" i="1"/>
  <c r="H97" i="5"/>
  <c r="G97" i="5"/>
  <c r="H101" i="5"/>
  <c r="H62" i="5" s="1"/>
  <c r="G101" i="5"/>
  <c r="G62" i="5" s="1"/>
  <c r="H98" i="5"/>
  <c r="H59" i="5" s="1"/>
  <c r="G98" i="5"/>
  <c r="G59" i="5" s="1"/>
  <c r="H100" i="5"/>
  <c r="H61" i="5" s="1"/>
  <c r="G100" i="5"/>
  <c r="G61" i="5" s="1"/>
  <c r="G131" i="1"/>
  <c r="G10" i="2" s="1"/>
  <c r="G117" i="1"/>
  <c r="E243" i="5"/>
  <c r="E245" i="5"/>
  <c r="E244" i="5"/>
  <c r="E242" i="5"/>
  <c r="E241" i="5"/>
  <c r="F127" i="1" l="1"/>
  <c r="H127" i="1"/>
  <c r="G119" i="1"/>
  <c r="G33" i="2"/>
  <c r="H33" i="2"/>
  <c r="G50" i="1"/>
  <c r="E57" i="1"/>
  <c r="H59" i="1"/>
  <c r="H136" i="1" s="1"/>
  <c r="H58" i="5"/>
  <c r="E132" i="1"/>
  <c r="G59" i="1"/>
  <c r="G136" i="1" s="1"/>
  <c r="G58" i="5"/>
  <c r="F55" i="1"/>
  <c r="F242" i="5"/>
  <c r="F241" i="5"/>
  <c r="F243" i="5"/>
  <c r="F245" i="5"/>
  <c r="F244" i="5"/>
  <c r="E134" i="1" l="1"/>
  <c r="E142" i="1" s="1"/>
  <c r="G127" i="1"/>
  <c r="E65" i="1"/>
  <c r="F57" i="1"/>
  <c r="H55" i="1"/>
  <c r="F132" i="1"/>
  <c r="G55" i="1"/>
  <c r="G243" i="5"/>
  <c r="H242" i="5"/>
  <c r="H241" i="5"/>
  <c r="G242" i="5"/>
  <c r="G241" i="5"/>
  <c r="H245" i="5"/>
  <c r="G245" i="5"/>
  <c r="H243" i="5"/>
  <c r="H244" i="5"/>
  <c r="G244" i="5"/>
  <c r="F134" i="1" l="1"/>
  <c r="G57" i="1"/>
  <c r="H57" i="1"/>
  <c r="G132" i="1"/>
  <c r="F65" i="1"/>
  <c r="H132" i="1"/>
  <c r="F142" i="1" l="1"/>
  <c r="H134" i="1"/>
  <c r="G134" i="1"/>
  <c r="H65" i="1"/>
  <c r="G65" i="1"/>
  <c r="G142" i="1" l="1"/>
  <c r="H142" i="1"/>
  <c r="E103" i="5"/>
  <c r="E64" i="5" l="1"/>
  <c r="E85" i="5"/>
  <c r="F103" i="5"/>
  <c r="F64" i="5" l="1"/>
  <c r="E46" i="5"/>
  <c r="H103" i="5"/>
  <c r="G103" i="5"/>
  <c r="F85" i="5"/>
  <c r="H85" i="5" l="1"/>
  <c r="G85" i="5"/>
  <c r="H64" i="5"/>
  <c r="F46" i="5"/>
  <c r="G64" i="5"/>
  <c r="G46" i="5" l="1"/>
  <c r="H46" i="5"/>
  <c r="E81" i="5" l="1"/>
  <c r="E42" i="5" s="1"/>
  <c r="E83" i="5"/>
  <c r="E44" i="5" s="1"/>
  <c r="E105" i="5"/>
  <c r="E66" i="5" s="1"/>
  <c r="E107" i="5"/>
  <c r="E68" i="5" s="1"/>
  <c r="E87" i="5"/>
  <c r="E48" i="5" s="1"/>
  <c r="E89" i="5"/>
  <c r="E50" i="5" s="1"/>
  <c r="E80" i="5"/>
  <c r="E82" i="5"/>
  <c r="E43" i="5" s="1"/>
  <c r="E104" i="5"/>
  <c r="E65" i="5" s="1"/>
  <c r="E106" i="5"/>
  <c r="E67" i="5" s="1"/>
  <c r="E86" i="5"/>
  <c r="E88" i="5"/>
  <c r="E49" i="5" s="1"/>
  <c r="E47" i="5" l="1"/>
  <c r="E29" i="1"/>
  <c r="E106" i="1" s="1"/>
  <c r="E74" i="1"/>
  <c r="E151" i="1" s="1"/>
  <c r="E41" i="5"/>
  <c r="E14" i="1"/>
  <c r="F88" i="5"/>
  <c r="F49" i="5" s="1"/>
  <c r="F86" i="5"/>
  <c r="F106" i="5"/>
  <c r="F67" i="5" s="1"/>
  <c r="F104" i="5"/>
  <c r="F65" i="5" s="1"/>
  <c r="F82" i="5"/>
  <c r="F43" i="5" s="1"/>
  <c r="F80" i="5"/>
  <c r="F89" i="5"/>
  <c r="F50" i="5" s="1"/>
  <c r="F87" i="5"/>
  <c r="F48" i="5" s="1"/>
  <c r="F107" i="5"/>
  <c r="F68" i="5" s="1"/>
  <c r="F105" i="5"/>
  <c r="F66" i="5" s="1"/>
  <c r="F83" i="5"/>
  <c r="F44" i="5" s="1"/>
  <c r="F81" i="5"/>
  <c r="F42" i="5" s="1"/>
  <c r="E91" i="1" l="1"/>
  <c r="E15" i="2" s="1"/>
  <c r="F74" i="1"/>
  <c r="F151" i="1" s="1"/>
  <c r="F47" i="5"/>
  <c r="F29" i="1"/>
  <c r="F106" i="1" s="1"/>
  <c r="F41" i="5"/>
  <c r="F14" i="1"/>
  <c r="H81" i="5"/>
  <c r="H42" i="5" s="1"/>
  <c r="G81" i="5"/>
  <c r="G42" i="5" s="1"/>
  <c r="H83" i="5"/>
  <c r="H44" i="5" s="1"/>
  <c r="G83" i="5"/>
  <c r="G44" i="5" s="1"/>
  <c r="H105" i="5"/>
  <c r="H66" i="5" s="1"/>
  <c r="G105" i="5"/>
  <c r="G66" i="5" s="1"/>
  <c r="H107" i="5"/>
  <c r="H68" i="5" s="1"/>
  <c r="G107" i="5"/>
  <c r="G68" i="5" s="1"/>
  <c r="H87" i="5"/>
  <c r="H48" i="5" s="1"/>
  <c r="G87" i="5"/>
  <c r="G48" i="5" s="1"/>
  <c r="H89" i="5"/>
  <c r="H50" i="5" s="1"/>
  <c r="G89" i="5"/>
  <c r="G50" i="5" s="1"/>
  <c r="H80" i="5"/>
  <c r="G80" i="5"/>
  <c r="H82" i="5"/>
  <c r="H43" i="5" s="1"/>
  <c r="G82" i="5"/>
  <c r="G43" i="5" s="1"/>
  <c r="H104" i="5"/>
  <c r="H65" i="5" s="1"/>
  <c r="G104" i="5"/>
  <c r="G65" i="5" s="1"/>
  <c r="H106" i="5"/>
  <c r="H67" i="5" s="1"/>
  <c r="G106" i="5"/>
  <c r="G67" i="5" s="1"/>
  <c r="H86" i="5"/>
  <c r="G86" i="5"/>
  <c r="H88" i="5"/>
  <c r="H49" i="5" s="1"/>
  <c r="G88" i="5"/>
  <c r="G49" i="5" s="1"/>
  <c r="E10" i="1"/>
  <c r="E70" i="1"/>
  <c r="E25" i="1"/>
  <c r="E226" i="5"/>
  <c r="E247" i="5"/>
  <c r="E225" i="5"/>
  <c r="E224" i="5"/>
  <c r="E231" i="5"/>
  <c r="E249" i="5"/>
  <c r="E230" i="5"/>
  <c r="E251" i="5"/>
  <c r="E233" i="5"/>
  <c r="E248" i="5"/>
  <c r="E223" i="5"/>
  <c r="E250" i="5"/>
  <c r="E227" i="5"/>
  <c r="E229" i="5"/>
  <c r="E232" i="5"/>
  <c r="F91" i="1" l="1"/>
  <c r="F15" i="2" s="1"/>
  <c r="E72" i="1"/>
  <c r="E12" i="1"/>
  <c r="E27" i="1"/>
  <c r="E147" i="1"/>
  <c r="E87" i="1"/>
  <c r="G47" i="5"/>
  <c r="G29" i="1"/>
  <c r="G106" i="1" s="1"/>
  <c r="G74" i="1"/>
  <c r="G151" i="1" s="1"/>
  <c r="G41" i="5"/>
  <c r="G14" i="1"/>
  <c r="E102" i="1"/>
  <c r="H47" i="5"/>
  <c r="H29" i="1"/>
  <c r="H106" i="1" s="1"/>
  <c r="H74" i="1"/>
  <c r="H151" i="1" s="1"/>
  <c r="H41" i="5"/>
  <c r="H14" i="1"/>
  <c r="F10" i="1"/>
  <c r="F25" i="1"/>
  <c r="F70" i="1"/>
  <c r="F251" i="5"/>
  <c r="F232" i="5"/>
  <c r="F248" i="5"/>
  <c r="F249" i="5"/>
  <c r="F226" i="5"/>
  <c r="F233" i="5"/>
  <c r="F229" i="5"/>
  <c r="F225" i="5"/>
  <c r="F230" i="5"/>
  <c r="F224" i="5"/>
  <c r="F247" i="5"/>
  <c r="F223" i="5"/>
  <c r="F250" i="5"/>
  <c r="F231" i="5"/>
  <c r="F227" i="5"/>
  <c r="E104" i="1" l="1"/>
  <c r="E112" i="1" s="1"/>
  <c r="E89" i="1"/>
  <c r="E149" i="1"/>
  <c r="E157" i="1" s="1"/>
  <c r="H91" i="1"/>
  <c r="G91" i="1"/>
  <c r="G15" i="2" s="1"/>
  <c r="E11" i="2"/>
  <c r="E34" i="2" s="1"/>
  <c r="H15" i="2"/>
  <c r="E80" i="1"/>
  <c r="E20" i="1"/>
  <c r="E35" i="1"/>
  <c r="F72" i="1"/>
  <c r="F27" i="1"/>
  <c r="F12" i="1"/>
  <c r="F147" i="1"/>
  <c r="F102" i="1"/>
  <c r="F87" i="1"/>
  <c r="H10" i="1"/>
  <c r="H70" i="1"/>
  <c r="H25" i="1"/>
  <c r="G10" i="1"/>
  <c r="G70" i="1"/>
  <c r="G25" i="1"/>
  <c r="H232" i="5"/>
  <c r="H250" i="5"/>
  <c r="G226" i="5"/>
  <c r="H233" i="5"/>
  <c r="G247" i="5"/>
  <c r="H225" i="5"/>
  <c r="G224" i="5"/>
  <c r="G250" i="5"/>
  <c r="G225" i="5"/>
  <c r="H223" i="5"/>
  <c r="G229" i="5"/>
  <c r="H247" i="5"/>
  <c r="H226" i="5"/>
  <c r="H230" i="5"/>
  <c r="H224" i="5"/>
  <c r="G230" i="5"/>
  <c r="G227" i="5"/>
  <c r="G248" i="5"/>
  <c r="H227" i="5"/>
  <c r="H249" i="5"/>
  <c r="G251" i="5"/>
  <c r="H231" i="5"/>
  <c r="G231" i="5"/>
  <c r="G232" i="5"/>
  <c r="H229" i="5"/>
  <c r="H251" i="5"/>
  <c r="H248" i="5"/>
  <c r="G233" i="5"/>
  <c r="G249" i="5"/>
  <c r="G223" i="5"/>
  <c r="E13" i="2" l="1"/>
  <c r="E35" i="2" s="1"/>
  <c r="E97" i="1"/>
  <c r="F149" i="1"/>
  <c r="F104" i="1"/>
  <c r="F89" i="1"/>
  <c r="F11" i="2"/>
  <c r="F34" i="2" s="1"/>
  <c r="F20" i="1"/>
  <c r="F35" i="1"/>
  <c r="F80" i="1"/>
  <c r="G27" i="1"/>
  <c r="G72" i="1"/>
  <c r="G12" i="1"/>
  <c r="H27" i="1"/>
  <c r="H72" i="1"/>
  <c r="H12" i="1"/>
  <c r="G102" i="1"/>
  <c r="G147" i="1"/>
  <c r="G87" i="1"/>
  <c r="H102" i="1"/>
  <c r="H147" i="1"/>
  <c r="H87" i="1"/>
  <c r="F112" i="1" l="1"/>
  <c r="F157" i="1"/>
  <c r="F13" i="2"/>
  <c r="F35" i="2" s="1"/>
  <c r="F97" i="1"/>
  <c r="H89" i="1"/>
  <c r="H104" i="1"/>
  <c r="H149" i="1"/>
  <c r="H157" i="1" s="1"/>
  <c r="G149" i="1"/>
  <c r="G157" i="1" s="1"/>
  <c r="G104" i="1"/>
  <c r="G89" i="1"/>
  <c r="H11" i="2"/>
  <c r="H34" i="2" s="1"/>
  <c r="G11" i="2"/>
  <c r="G34" i="2" s="1"/>
  <c r="G35" i="1"/>
  <c r="H20" i="1"/>
  <c r="H35" i="1"/>
  <c r="G20" i="1"/>
  <c r="H80" i="1"/>
  <c r="G80" i="1"/>
  <c r="H112" i="1" l="1"/>
  <c r="G112" i="1"/>
  <c r="G97" i="1"/>
  <c r="H13" i="2"/>
  <c r="H35" i="2" s="1"/>
  <c r="G13" i="2"/>
  <c r="G35" i="2" s="1"/>
  <c r="H97" i="1"/>
  <c r="E32" i="2" l="1"/>
  <c r="H32" i="2"/>
  <c r="G32" i="2"/>
  <c r="F32" i="2"/>
  <c r="G28" i="2" l="1"/>
  <c r="G29" i="2"/>
  <c r="H29" i="2"/>
  <c r="H28" i="2"/>
  <c r="E21" i="2" l="1"/>
  <c r="E28" i="2" l="1"/>
  <c r="E29" i="2"/>
  <c r="F36" i="2"/>
  <c r="F21" i="2"/>
  <c r="E27" i="2"/>
  <c r="E26" i="2"/>
  <c r="E25" i="2"/>
  <c r="E36" i="2"/>
  <c r="F37" i="2" l="1"/>
  <c r="F25" i="2"/>
  <c r="G36" i="2"/>
  <c r="G21" i="2"/>
  <c r="H21" i="2"/>
  <c r="F26" i="2"/>
  <c r="E37" i="2"/>
  <c r="F29" i="2"/>
  <c r="F28" i="2"/>
  <c r="F27" i="2"/>
  <c r="H26" i="2" l="1"/>
  <c r="G26" i="2"/>
  <c r="H25" i="2"/>
  <c r="H36" i="2"/>
  <c r="H27" i="2"/>
  <c r="G27" i="2"/>
  <c r="G37" i="2"/>
  <c r="G25" i="2"/>
  <c r="H37" i="2" l="1"/>
</calcChain>
</file>

<file path=xl/comments1.xml><?xml version="1.0" encoding="utf-8"?>
<comments xmlns="http://schemas.openxmlformats.org/spreadsheetml/2006/main">
  <authors>
    <author>AEMC</author>
  </authors>
  <commentList>
    <comment ref="E652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EPR0029 2012 NT Treasury data, p2</t>
        </r>
      </text>
    </comment>
    <comment ref="F652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EPR0029 2012 NT Treasury data, p2</t>
        </r>
      </text>
    </comment>
    <comment ref="G652" authorId="0">
      <text>
        <r>
          <rPr>
            <b/>
            <sz val="9"/>
            <color indexed="81"/>
            <rFont val="Tahoma"/>
            <family val="2"/>
          </rPr>
          <t>AEMC:</t>
        </r>
        <r>
          <rPr>
            <sz val="9"/>
            <color indexed="81"/>
            <rFont val="Tahoma"/>
            <family val="2"/>
          </rPr>
          <t xml:space="preserve">
EPR0029 2012 NT Treasury data, p2</t>
        </r>
      </text>
    </comment>
  </commentList>
</comments>
</file>

<file path=xl/sharedStrings.xml><?xml version="1.0" encoding="utf-8"?>
<sst xmlns="http://schemas.openxmlformats.org/spreadsheetml/2006/main" count="1702" uniqueCount="145">
  <si>
    <t>Inputs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</si>
  <si>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</si>
  <si>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</si>
  <si>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</si>
  <si>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</si>
  <si>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</si>
  <si>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</si>
  <si>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</si>
  <si>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</si>
  <si>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</si>
  <si>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</si>
  <si>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</si>
  <si>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</si>
  <si>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</si>
  <si>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</si>
  <si>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</si>
  <si>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</si>
  <si>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</si>
  <si>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</si>
  <si>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</si>
  <si>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</si>
  <si>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</si>
  <si>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</si>
  <si>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</si>
  <si>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</si>
  <si>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</si>
  <si>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</si>
  <si>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</si>
  <si>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</si>
  <si>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</si>
  <si>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</si>
  <si>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</si>
  <si>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</si>
  <si>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</si>
  <si>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</si>
  <si>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</si>
  <si>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</si>
  <si>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</si>
  <si>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</si>
  <si>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</si>
  <si>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</si>
  <si>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</si>
  <si>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</si>
  <si>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</si>
  <si>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</si>
  <si>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</si>
  <si>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</si>
  <si>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</si>
  <si>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</si>
  <si>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</si>
  <si>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</si>
  <si>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</si>
  <si>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</si>
  <si>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</si>
  <si>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</si>
  <si>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</si>
  <si>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</si>
  <si>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</si>
  <si>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</si>
  <si>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</si>
  <si>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</si>
  <si>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</si>
  <si>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</si>
  <si>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</si>
  <si>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</si>
  <si>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</si>
  <si>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</si>
  <si>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</si>
  <si>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</si>
  <si>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</si>
  <si>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</si>
  <si>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</si>
  <si>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</si>
  <si>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</si>
  <si>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</si>
  <si>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</si>
  <si>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</si>
  <si>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</si>
  <si>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</si>
  <si>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</si>
  <si>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</si>
  <si>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</si>
  <si>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</si>
  <si>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</si>
  <si>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</si>
  <si>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</si>
  <si>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</si>
  <si>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</si>
  <si>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</si>
  <si>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</si>
  <si>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</si>
  <si>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</si>
  <si>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</si>
  <si>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</si>
  <si>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</si>
  <si>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</si>
  <si>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</si>
  <si>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Network and Customer data provided on calendar year basis.  Converted to financial year using simple average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</si>
  <si>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</si>
  <si>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</si>
  <si>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</si>
  <si>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</si>
  <si>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</si>
  <si>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</si>
  <si>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</si>
  <si>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</si>
  <si>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</si>
  <si>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</si>
  <si>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</si>
  <si>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</si>
  <si>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</si>
  <si>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</si>
  <si>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</si>
  <si>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</si>
  <si>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</si>
  <si>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</si>
  <si>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</si>
  <si>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</si>
  <si>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</si>
  <si>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2012/13 jurisdiction data are taken from 2011 report. The carbon price for 2012/13 is taken from the Frontier results.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</si>
  <si>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</si>
  <si>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</si>
  <si>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</si>
  <si>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</si>
  <si>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</si>
  <si>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</si>
  <si>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</si>
  <si>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</si>
  <si>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</si>
  <si>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</si>
  <si>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Retail margin is the balancing item between other cost components and the total price as provided by St Vincent de Paul for the 2012/13 year based on standing offer tariffs</t>
  </si>
  <si>
    <t>Retail operating cost and retail margin are included in retail and residual costs</t>
  </si>
  <si>
    <t>AEMC</t>
  </si>
  <si>
    <t>Northern Territory</t>
  </si>
  <si>
    <t>NT</t>
  </si>
  <si>
    <t>TNSP</t>
  </si>
  <si>
    <t>$/kWh</t>
  </si>
  <si>
    <t>blank</t>
  </si>
  <si>
    <t>increase to produce total tariff increase 30%</t>
  </si>
  <si>
    <t>Distributors</t>
  </si>
  <si>
    <t>Distributor 1</t>
  </si>
  <si>
    <t>Distributor 2</t>
  </si>
  <si>
    <t>Distributor 3</t>
  </si>
  <si>
    <t>Distributor 4</t>
  </si>
  <si>
    <t>Distributor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</si>
</sst>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&quot;$&quot;* #,##0.000000_-;\-&quot;$&quot;* #,##0.000000_-;_-&quot;$&quot;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0000_-;\-* #,##0.000000_-;_-* &quot;-&quot;??_-;_-@_-"/>
    <numFmt numFmtId="172" formatCode="_-* #,##0.0_-;\-* #,##0.0_-;_-* &quot;-&quot;??_-;_-@_-"/>
    <numFmt numFmtId="173" formatCode="#,##0.00_ ;\-#,##0.00\ "/>
    <numFmt numFmtId="174" formatCode="0.000000"/>
    <numFmt numFmtId="175" formatCode="&quot;$&quot;#,##0.00"/>
    <numFmt numFmtId="176" formatCode="_-* #,##0.000_-;\-* #,##0.000_-;_-* &quot;-&quot;??_-;_-@_-"/>
    <numFmt numFmtId="177" formatCode="#,##0.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8"/>
      <color rgb="FFFF0000"/>
      <name val="Book Antiqua"/>
      <family val="1"/>
    </font>
  </fonts>
  <fills count="1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6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8" fillId="0" borderId="0">
      <alignment horizontal="left"/>
    </xf>
    <xf numFmtId="0" fontId="9" fillId="0" borderId="0"/>
    <xf numFmtId="165" fontId="6" fillId="5" borderId="0">
      <alignment horizontal="left"/>
      <protection locked="0"/>
    </xf>
    <xf numFmtId="166" fontId="6" fillId="5" borderId="0">
      <alignment horizontal="right"/>
      <protection locked="0"/>
    </xf>
    <xf numFmtId="0" fontId="10" fillId="0" borderId="0" applyNumberFormat="0" applyFill="0" applyBorder="0" applyAlignment="0"/>
    <xf numFmtId="0" fontId="11" fillId="0" borderId="4" applyNumberFormat="0" applyFill="0" applyBorder="0" applyAlignment="0"/>
    <xf numFmtId="165" fontId="7" fillId="6" borderId="5" applyNumberFormat="0" applyFont="0" applyBorder="0" applyAlignment="0">
      <alignment horizontal="right"/>
      <protection locked="0"/>
    </xf>
    <xf numFmtId="166" fontId="7" fillId="6" borderId="0" applyFont="0" applyBorder="0" applyAlignment="0">
      <protection locked="0"/>
    </xf>
    <xf numFmtId="165" fontId="6" fillId="7" borderId="0" applyBorder="0" applyAlignment="0">
      <alignment horizontal="right"/>
      <protection locked="0"/>
    </xf>
    <xf numFmtId="10" fontId="6" fillId="7" borderId="0" applyBorder="0">
      <alignment horizontal="right"/>
      <protection locked="0"/>
    </xf>
    <xf numFmtId="165" fontId="7" fillId="7" borderId="0" applyFont="0" applyBorder="0" applyAlignment="0">
      <alignment horizontal="right"/>
      <protection locked="0"/>
    </xf>
    <xf numFmtId="10" fontId="7" fillId="7" borderId="0" applyFont="0" applyBorder="0">
      <alignment horizontal="right"/>
      <protection locked="0"/>
    </xf>
    <xf numFmtId="3" fontId="12" fillId="0" borderId="0">
      <protection locked="0"/>
    </xf>
    <xf numFmtId="166" fontId="12" fillId="0" borderId="0">
      <protection locked="0"/>
    </xf>
    <xf numFmtId="165" fontId="7" fillId="8" borderId="0" applyFont="0" applyBorder="0">
      <alignment horizontal="right"/>
      <protection locked="0"/>
    </xf>
    <xf numFmtId="165" fontId="13" fillId="9" borderId="0"/>
    <xf numFmtId="165" fontId="14" fillId="0" borderId="6" applyBorder="0" applyProtection="0"/>
    <xf numFmtId="0" fontId="15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10" borderId="0" applyNumberFormat="0" applyAlignment="0"/>
    <xf numFmtId="0" fontId="16" fillId="11" borderId="0">
      <alignment horizontal="center" wrapText="1"/>
    </xf>
    <xf numFmtId="0" fontId="7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51">
    <xf numFmtId="0" fontId="0" fillId="0" borderId="0" xfId="0"/>
    <xf numFmtId="0" fontId="17" fillId="0" borderId="0" xfId="0" applyFont="1"/>
    <xf numFmtId="0" fontId="0" fillId="0" borderId="0" xfId="0" applyAlignment="1">
      <alignment horizontal="left" indent="1"/>
    </xf>
    <xf numFmtId="0" fontId="20" fillId="0" borderId="0" xfId="6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left" indent="1"/>
    </xf>
    <xf numFmtId="0" fontId="21" fillId="0" borderId="8" xfId="0" applyFont="1" applyBorder="1"/>
    <xf numFmtId="0" fontId="23" fillId="0" borderId="0" xfId="6" applyFont="1"/>
    <xf numFmtId="0" fontId="18" fillId="4" borderId="0" xfId="5" applyFont="1" applyFill="1"/>
    <xf numFmtId="0" fontId="26" fillId="4" borderId="0" xfId="5" applyFont="1" applyFill="1"/>
    <xf numFmtId="0" fontId="27" fillId="4" borderId="0" xfId="5" applyFont="1" applyFill="1" applyAlignment="1">
      <alignment horizontal="left" indent="2"/>
    </xf>
    <xf numFmtId="0" fontId="27" fillId="4" borderId="0" xfId="5" applyFont="1" applyFill="1"/>
    <xf numFmtId="0" fontId="28" fillId="4" borderId="0" xfId="5" applyFont="1" applyFill="1"/>
    <xf numFmtId="0" fontId="29" fillId="4" borderId="0" xfId="5" applyFont="1" applyFill="1"/>
    <xf numFmtId="43" fontId="21" fillId="0" borderId="0" xfId="0" applyNumberFormat="1" applyFont="1"/>
    <xf numFmtId="169" fontId="21" fillId="0" borderId="0" xfId="1" applyNumberFormat="1" applyFont="1"/>
    <xf numFmtId="43" fontId="21" fillId="0" borderId="0" xfId="1" applyFont="1"/>
    <xf numFmtId="167" fontId="21" fillId="0" borderId="0" xfId="1" applyNumberFormat="1" applyFont="1"/>
    <xf numFmtId="0" fontId="30" fillId="0" borderId="0" xfId="0" applyFont="1"/>
    <xf numFmtId="0" fontId="31" fillId="0" borderId="0" xfId="6" applyFont="1"/>
    <xf numFmtId="0" fontId="19" fillId="0" borderId="0" xfId="5" applyFont="1"/>
    <xf numFmtId="0" fontId="27" fillId="4" borderId="0" xfId="6" applyFont="1" applyFill="1"/>
    <xf numFmtId="0" fontId="32" fillId="4" borderId="0" xfId="5" applyFont="1" applyFill="1"/>
    <xf numFmtId="0" fontId="33" fillId="0" borderId="0" xfId="5" applyFont="1"/>
    <xf numFmtId="0" fontId="19" fillId="0" borderId="0" xfId="5" applyFont="1" applyFill="1"/>
    <xf numFmtId="0" fontId="19" fillId="0" borderId="0" xfId="5" applyFont="1" applyAlignment="1">
      <alignment horizontal="left" indent="1"/>
    </xf>
    <xf numFmtId="171" fontId="19" fillId="0" borderId="0" xfId="5" applyNumberFormat="1" applyFont="1"/>
    <xf numFmtId="0" fontId="34" fillId="0" borderId="0" xfId="5" applyFont="1"/>
    <xf numFmtId="174" fontId="19" fillId="0" borderId="0" xfId="5" applyNumberFormat="1" applyFont="1"/>
    <xf numFmtId="0" fontId="19" fillId="0" borderId="0" xfId="5" quotePrefix="1" applyFont="1"/>
    <xf numFmtId="43" fontId="19" fillId="0" borderId="0" xfId="5" applyNumberFormat="1" applyFont="1"/>
    <xf numFmtId="0" fontId="23" fillId="0" borderId="0" xfId="5" applyFont="1"/>
    <xf numFmtId="171" fontId="34" fillId="0" borderId="0" xfId="1" applyNumberFormat="1" applyFont="1"/>
    <xf numFmtId="174" fontId="34" fillId="0" borderId="0" xfId="5" applyNumberFormat="1" applyFont="1"/>
    <xf numFmtId="171" fontId="19" fillId="0" borderId="0" xfId="1" applyNumberFormat="1" applyFont="1"/>
    <xf numFmtId="1" fontId="19" fillId="0" borderId="0" xfId="5" applyNumberFormat="1" applyFont="1"/>
    <xf numFmtId="0" fontId="19" fillId="0" borderId="0" xfId="33" applyFont="1"/>
    <xf numFmtId="0" fontId="19" fillId="0" borderId="0" xfId="5" applyFont="1" applyFill="1" applyBorder="1"/>
    <xf numFmtId="1" fontId="19" fillId="0" borderId="0" xfId="33" applyNumberFormat="1" applyFont="1" applyBorder="1"/>
    <xf numFmtId="0" fontId="35" fillId="0" borderId="0" xfId="5" applyFont="1"/>
    <xf numFmtId="0" fontId="24" fillId="0" borderId="0" xfId="3" applyFont="1" applyFill="1" applyBorder="1"/>
    <xf numFmtId="8" fontId="19" fillId="0" borderId="0" xfId="5" applyNumberFormat="1" applyFont="1" applyBorder="1"/>
    <xf numFmtId="2" fontId="19" fillId="0" borderId="0" xfId="5" applyNumberFormat="1" applyFont="1"/>
    <xf numFmtId="43" fontId="19" fillId="0" borderId="0" xfId="5" applyNumberFormat="1" applyFont="1" applyAlignment="1">
      <alignment horizontal="left" indent="1"/>
    </xf>
    <xf numFmtId="3" fontId="19" fillId="0" borderId="0" xfId="5" applyNumberFormat="1" applyFont="1" applyBorder="1"/>
    <xf numFmtId="173" fontId="19" fillId="0" borderId="10" xfId="1" applyNumberFormat="1" applyFont="1" applyBorder="1"/>
    <xf numFmtId="173" fontId="19" fillId="0" borderId="0" xfId="1" applyNumberFormat="1" applyFont="1" applyBorder="1"/>
    <xf numFmtId="43" fontId="19" fillId="0" borderId="0" xfId="5" applyNumberFormat="1" applyFont="1" applyAlignment="1">
      <alignment horizontal="left"/>
    </xf>
    <xf numFmtId="0" fontId="19" fillId="0" borderId="0" xfId="5" applyFont="1" applyBorder="1"/>
    <xf numFmtId="0" fontId="18" fillId="0" borderId="0" xfId="5" applyFont="1"/>
    <xf numFmtId="0" fontId="26" fillId="4" borderId="0" xfId="5" applyFont="1" applyFill="1" applyAlignment="1"/>
    <xf numFmtId="0" fontId="36" fillId="0" borderId="0" xfId="6" applyFont="1"/>
    <xf numFmtId="2" fontId="18" fillId="0" borderId="0" xfId="5" applyNumberFormat="1" applyFont="1"/>
    <xf numFmtId="0" fontId="26" fillId="4" borderId="0" xfId="5" applyFont="1" applyFill="1" applyAlignment="1">
      <alignment horizontal="left" indent="2"/>
    </xf>
    <xf numFmtId="14" fontId="21" fillId="0" borderId="0" xfId="0" applyNumberFormat="1" applyFont="1"/>
    <xf numFmtId="43" fontId="34" fillId="0" borderId="0" xfId="5" applyNumberFormat="1" applyFont="1"/>
    <xf numFmtId="170" fontId="19" fillId="0" borderId="0" xfId="1" applyNumberFormat="1" applyFont="1" applyFill="1"/>
    <xf numFmtId="0" fontId="34" fillId="0" borderId="0" xfId="5" applyFont="1" applyFill="1"/>
    <xf numFmtId="167" fontId="34" fillId="0" borderId="0" xfId="5" applyNumberFormat="1" applyFont="1" applyFill="1"/>
    <xf numFmtId="167" fontId="19" fillId="0" borderId="0" xfId="5" applyNumberFormat="1" applyFont="1" applyFill="1"/>
    <xf numFmtId="0" fontId="19" fillId="12" borderId="7" xfId="5" applyFont="1" applyFill="1" applyBorder="1"/>
    <xf numFmtId="0" fontId="25" fillId="13" borderId="11" xfId="4" applyFont="1" applyFill="1" applyBorder="1"/>
    <xf numFmtId="8" fontId="19" fillId="14" borderId="12" xfId="3" applyNumberFormat="1" applyFont="1" applyFill="1" applyBorder="1"/>
    <xf numFmtId="171" fontId="19" fillId="12" borderId="7" xfId="1" applyNumberFormat="1" applyFont="1" applyFill="1" applyBorder="1"/>
    <xf numFmtId="43" fontId="19" fillId="12" borderId="7" xfId="1" applyNumberFormat="1" applyFont="1" applyFill="1" applyBorder="1"/>
    <xf numFmtId="167" fontId="19" fillId="12" borderId="7" xfId="1" applyNumberFormat="1" applyFont="1" applyFill="1" applyBorder="1"/>
    <xf numFmtId="9" fontId="19" fillId="12" borderId="7" xfId="2" applyNumberFormat="1" applyFont="1" applyFill="1" applyBorder="1"/>
    <xf numFmtId="172" fontId="25" fillId="15" borderId="13" xfId="1" applyNumberFormat="1" applyFont="1" applyFill="1" applyBorder="1"/>
    <xf numFmtId="0" fontId="19" fillId="12" borderId="14" xfId="5" applyFont="1" applyFill="1" applyBorder="1"/>
    <xf numFmtId="0" fontId="25" fillId="15" borderId="13" xfId="4" applyFont="1" applyFill="1" applyBorder="1"/>
    <xf numFmtId="0" fontId="19" fillId="0" borderId="0" xfId="5" applyNumberFormat="1" applyFont="1" applyAlignment="1">
      <alignment horizontal="left" indent="1"/>
    </xf>
    <xf numFmtId="0" fontId="37" fillId="0" borderId="0" xfId="0" applyFont="1"/>
    <xf numFmtId="172" fontId="0" fillId="0" borderId="0" xfId="0" applyNumberFormat="1"/>
    <xf numFmtId="172" fontId="0" fillId="0" borderId="0" xfId="2" applyNumberFormat="1" applyFont="1"/>
    <xf numFmtId="0" fontId="25" fillId="13" borderId="15" xfId="4" applyFont="1" applyFill="1" applyBorder="1"/>
    <xf numFmtId="0" fontId="35" fillId="0" borderId="0" xfId="5" applyNumberFormat="1" applyFont="1"/>
    <xf numFmtId="0" fontId="19" fillId="0" borderId="0" xfId="5" applyNumberFormat="1" applyFont="1" applyAlignment="1"/>
    <xf numFmtId="0" fontId="19" fillId="0" borderId="0" xfId="5" applyNumberFormat="1" applyFont="1" applyAlignment="1">
      <alignment horizontal="left"/>
    </xf>
    <xf numFmtId="0" fontId="35" fillId="0" borderId="0" xfId="5" applyNumberFormat="1" applyFont="1" applyAlignment="1"/>
    <xf numFmtId="0" fontId="21" fillId="0" borderId="0" xfId="0" applyFont="1"/>
    <xf numFmtId="0" fontId="18" fillId="4" borderId="0" xfId="5" applyFont="1" applyFill="1"/>
    <xf numFmtId="0" fontId="26" fillId="4" borderId="0" xfId="5" applyFont="1" applyFill="1"/>
    <xf numFmtId="0" fontId="27" fillId="4" borderId="0" xfId="5" applyFont="1" applyFill="1"/>
    <xf numFmtId="0" fontId="29" fillId="4" borderId="0" xfId="5" applyFont="1" applyFill="1"/>
    <xf numFmtId="43" fontId="21" fillId="0" borderId="0" xfId="0" applyNumberFormat="1" applyFont="1"/>
    <xf numFmtId="167" fontId="21" fillId="0" borderId="0" xfId="1" applyNumberFormat="1" applyFont="1"/>
    <xf numFmtId="0" fontId="19" fillId="0" borderId="0" xfId="5" applyFont="1"/>
    <xf numFmtId="8" fontId="19" fillId="14" borderId="12" xfId="3" applyNumberFormat="1" applyFont="1" applyFill="1" applyBorder="1"/>
    <xf numFmtId="171" fontId="19" fillId="12" borderId="7" xfId="1" applyNumberFormat="1" applyFont="1" applyFill="1" applyBorder="1"/>
    <xf numFmtId="43" fontId="19" fillId="12" borderId="7" xfId="1" applyNumberFormat="1" applyFont="1" applyFill="1" applyBorder="1"/>
    <xf numFmtId="167" fontId="19" fillId="12" borderId="7" xfId="1" applyNumberFormat="1" applyFont="1" applyFill="1" applyBorder="1"/>
    <xf numFmtId="9" fontId="19" fillId="12" borderId="7" xfId="2" applyFont="1" applyFill="1" applyBorder="1"/>
    <xf numFmtId="0" fontId="23" fillId="0" borderId="0" xfId="61" applyFont="1"/>
    <xf numFmtId="2" fontId="19" fillId="12" borderId="7" xfId="5" applyNumberFormat="1" applyFont="1" applyFill="1" applyBorder="1"/>
    <xf numFmtId="8" fontId="0" fillId="0" borderId="0" xfId="0" applyNumberFormat="1"/>
    <xf numFmtId="0" fontId="19" fillId="0" borderId="0" xfId="61" applyFont="1"/>
    <xf numFmtId="0" fontId="35" fillId="0" borderId="0" xfId="61" applyFont="1"/>
    <xf numFmtId="0" fontId="19" fillId="0" borderId="0" xfId="61" applyFont="1" applyFill="1" applyBorder="1"/>
    <xf numFmtId="1" fontId="19" fillId="0" borderId="0" xfId="61" applyNumberFormat="1" applyFont="1" applyFill="1" applyBorder="1"/>
    <xf numFmtId="1" fontId="19" fillId="0" borderId="0" xfId="61" applyNumberFormat="1" applyFont="1" applyBorder="1"/>
    <xf numFmtId="0" fontId="23" fillId="0" borderId="0" xfId="61" applyFont="1" applyAlignment="1">
      <alignment wrapText="1"/>
    </xf>
    <xf numFmtId="175" fontId="19" fillId="12" borderId="7" xfId="1" applyNumberFormat="1" applyFont="1" applyFill="1" applyBorder="1"/>
    <xf numFmtId="2" fontId="19" fillId="12" borderId="7" xfId="1" applyNumberFormat="1" applyFont="1" applyFill="1" applyBorder="1"/>
    <xf numFmtId="0" fontId="19" fillId="14" borderId="12" xfId="3" applyNumberFormat="1" applyFont="1" applyFill="1" applyBorder="1"/>
    <xf numFmtId="43" fontId="19" fillId="0" borderId="0" xfId="1" applyFont="1"/>
    <xf numFmtId="0" fontId="26" fillId="4" borderId="0" xfId="5" applyNumberFormat="1" applyFont="1" applyFill="1"/>
    <xf numFmtId="0" fontId="23" fillId="0" borderId="0" xfId="61" applyFont="1" applyFill="1"/>
    <xf numFmtId="43" fontId="18" fillId="0" borderId="0" xfId="5" applyNumberFormat="1" applyFont="1"/>
    <xf numFmtId="176" fontId="19" fillId="0" borderId="0" xfId="5" applyNumberFormat="1" applyFont="1"/>
    <xf numFmtId="10" fontId="19" fillId="12" borderId="14" xfId="2" applyNumberFormat="1" applyFont="1" applyFill="1" applyBorder="1"/>
    <xf numFmtId="10" fontId="19" fillId="12" borderId="7" xfId="2" applyNumberFormat="1" applyFont="1" applyFill="1" applyBorder="1"/>
    <xf numFmtId="0" fontId="25" fillId="13" borderId="19" xfId="4" applyFont="1" applyFill="1" applyBorder="1"/>
    <xf numFmtId="173" fontId="34" fillId="0" borderId="10" xfId="1" applyNumberFormat="1" applyFont="1" applyBorder="1"/>
    <xf numFmtId="173" fontId="34" fillId="0" borderId="0" xfId="1" applyNumberFormat="1" applyFont="1" applyBorder="1"/>
    <xf numFmtId="173" fontId="34" fillId="0" borderId="4" xfId="1" applyNumberFormat="1" applyFont="1" applyBorder="1"/>
    <xf numFmtId="173" fontId="34" fillId="0" borderId="9" xfId="1" applyNumberFormat="1" applyFont="1" applyBorder="1"/>
    <xf numFmtId="10" fontId="19" fillId="0" borderId="0" xfId="2" applyNumberFormat="1" applyFont="1" applyBorder="1"/>
    <xf numFmtId="0" fontId="40" fillId="0" borderId="0" xfId="0" applyFont="1"/>
    <xf numFmtId="167" fontId="40" fillId="0" borderId="0" xfId="1" applyNumberFormat="1" applyFont="1"/>
    <xf numFmtId="8" fontId="19" fillId="14" borderId="12" xfId="3" applyNumberFormat="1" applyFont="1" applyFill="1" applyBorder="1" applyProtection="1">
      <protection locked="0"/>
    </xf>
    <xf numFmtId="43" fontId="19" fillId="14" borderId="12" xfId="3" applyNumberFormat="1" applyFont="1" applyFill="1" applyBorder="1" applyAlignment="1" applyProtection="1">
      <alignment horizontal="left" indent="1"/>
      <protection locked="0"/>
    </xf>
    <xf numFmtId="43" fontId="34" fillId="14" borderId="12" xfId="3" applyNumberFormat="1" applyFont="1" applyFill="1" applyBorder="1" applyAlignment="1" applyProtection="1">
      <alignment horizontal="left" indent="1"/>
      <protection locked="0"/>
    </xf>
    <xf numFmtId="0" fontId="19" fillId="14" borderId="12" xfId="3" applyFont="1" applyFill="1" applyBorder="1" applyProtection="1">
      <protection locked="0"/>
    </xf>
    <xf numFmtId="167" fontId="19" fillId="14" borderId="12" xfId="1" applyNumberFormat="1" applyFont="1" applyFill="1" applyBorder="1" applyProtection="1">
      <protection locked="0"/>
    </xf>
    <xf numFmtId="1" fontId="19" fillId="14" borderId="12" xfId="3" applyNumberFormat="1" applyFont="1" applyFill="1" applyBorder="1" applyProtection="1">
      <protection locked="0"/>
    </xf>
    <xf numFmtId="3" fontId="19" fillId="14" borderId="12" xfId="3" applyNumberFormat="1" applyFont="1" applyFill="1" applyBorder="1" applyProtection="1">
      <protection locked="0"/>
    </xf>
    <xf numFmtId="171" fontId="19" fillId="14" borderId="12" xfId="1" applyNumberFormat="1" applyFont="1" applyFill="1" applyBorder="1" applyProtection="1">
      <protection locked="0"/>
    </xf>
    <xf numFmtId="44" fontId="19" fillId="14" borderId="12" xfId="3" applyNumberFormat="1" applyFont="1" applyFill="1" applyBorder="1" applyProtection="1">
      <protection locked="0"/>
    </xf>
    <xf numFmtId="2" fontId="19" fillId="12" borderId="7" xfId="5" applyNumberFormat="1" applyFont="1" applyFill="1" applyBorder="1" applyProtection="1">
      <protection locked="0"/>
    </xf>
    <xf numFmtId="168" fontId="19" fillId="14" borderId="12" xfId="3" applyNumberFormat="1" applyFont="1" applyFill="1" applyBorder="1" applyProtection="1">
      <protection locked="0"/>
    </xf>
    <xf numFmtId="174" fontId="19" fillId="12" borderId="7" xfId="5" applyNumberFormat="1" applyFont="1" applyFill="1" applyBorder="1" applyProtection="1">
      <protection locked="0"/>
    </xf>
    <xf numFmtId="2" fontId="19" fillId="12" borderId="14" xfId="5" applyNumberFormat="1" applyFont="1" applyFill="1" applyBorder="1" applyProtection="1">
      <protection locked="0"/>
    </xf>
    <xf numFmtId="174" fontId="19" fillId="12" borderId="14" xfId="5" applyNumberFormat="1" applyFont="1" applyFill="1" applyBorder="1" applyProtection="1">
      <protection locked="0"/>
    </xf>
    <xf numFmtId="0" fontId="19" fillId="14" borderId="12" xfId="3" applyNumberFormat="1" applyFont="1" applyFill="1" applyBorder="1" applyProtection="1">
      <protection locked="0"/>
    </xf>
    <xf numFmtId="2" fontId="19" fillId="14" borderId="12" xfId="1" applyNumberFormat="1" applyFont="1" applyFill="1" applyBorder="1" applyProtection="1">
      <protection locked="0"/>
    </xf>
    <xf numFmtId="0" fontId="19" fillId="0" borderId="0" xfId="61" applyFont="1" applyProtection="1">
      <protection locked="0"/>
    </xf>
    <xf numFmtId="166" fontId="19" fillId="14" borderId="12" xfId="2" applyNumberFormat="1" applyFont="1" applyFill="1" applyBorder="1" applyProtection="1">
      <protection locked="0"/>
    </xf>
    <xf numFmtId="9" fontId="19" fillId="14" borderId="12" xfId="2" applyFont="1" applyFill="1" applyBorder="1" applyProtection="1">
      <protection locked="0"/>
    </xf>
    <xf numFmtId="10" fontId="19" fillId="14" borderId="12" xfId="2" applyNumberFormat="1" applyFont="1" applyFill="1" applyBorder="1" applyProtection="1">
      <protection locked="0"/>
    </xf>
    <xf numFmtId="177" fontId="19" fillId="14" borderId="12" xfId="3" applyNumberFormat="1" applyFont="1" applyFill="1" applyBorder="1" applyProtection="1">
      <protection locked="0"/>
    </xf>
    <xf numFmtId="2" fontId="19" fillId="12" borderId="14" xfId="5" applyNumberFormat="1" applyFont="1" applyFill="1" applyBorder="1"/>
    <xf numFmtId="2" fontId="19" fillId="14" borderId="12" xfId="1" applyNumberFormat="1" applyFont="1" applyFill="1" applyBorder="1"/>
    <xf numFmtId="0" fontId="19" fillId="17" borderId="20" xfId="3" applyNumberFormat="1" applyFont="1" applyFill="1" applyBorder="1"/>
    <xf numFmtId="2" fontId="19" fillId="14" borderId="12" xfId="3" applyNumberFormat="1" applyFont="1" applyFill="1" applyBorder="1" applyProtection="1">
      <protection locked="0"/>
    </xf>
    <xf numFmtId="0" fontId="19" fillId="16" borderId="16" xfId="5" applyFont="1" applyFill="1" applyBorder="1" applyAlignment="1">
      <alignment horizontal="left"/>
    </xf>
    <xf numFmtId="0" fontId="19" fillId="16" borderId="17" xfId="5" applyFont="1" applyFill="1" applyBorder="1" applyAlignment="1">
      <alignment horizontal="left"/>
    </xf>
    <xf numFmtId="0" fontId="19" fillId="16" borderId="18" xfId="5" applyFont="1" applyFill="1" applyBorder="1" applyAlignment="1">
      <alignment horizontal="left"/>
    </xf>
    <xf numFmtId="0" fontId="19" fillId="16" borderId="16" xfId="5" applyFont="1" applyFill="1" applyBorder="1" applyAlignment="1">
      <alignment horizontal="left" wrapText="1"/>
    </xf>
    <xf numFmtId="0" fontId="19" fillId="16" borderId="17" xfId="5" applyFont="1" applyFill="1" applyBorder="1" applyAlignment="1">
      <alignment horizontal="left" wrapText="1"/>
    </xf>
    <xf numFmtId="0" fontId="19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1"/>
  <sheetViews>
    <sheetView topLeftCell="A18" zoomScaleNormal="100" workbookViewId="0">
      <selection activeCell="A44" sqref="A44"/>
    </sheetView>
  </sheetViews>
  <sheetFormatPr defaultColWidth="9.140625" defaultRowHeight="16.5" x14ac:dyDescent="0.3"/>
  <cols>
    <col min="1" max="1" width="21.140625" style="4" customWidth="1"/>
    <col min="2" max="2" width="13.5703125" style="4" customWidth="1"/>
    <col min="3" max="3" width="12.7109375" style="4" bestFit="1" customWidth="1"/>
    <col min="4" max="4" width="32.140625" style="4" bestFit="1" customWidth="1"/>
    <col min="5" max="16384" width="9.140625" style="4"/>
  </cols>
  <sheetData>
    <row r="1" spans="1:7" s="9" customFormat="1" ht="23.25" x14ac:dyDescent="0.35">
      <c r="A1" s="9" t="s">
        <v>1</v>
      </c>
      <c r="B1" s="54" t="str">
        <f ca="1">LEFT(RIGHT(CELL("filename",B2),LEN(CELL("filename",B2))-SEARCH("[",CELL("filename",B2))),SEARCH(".",RIGHT(CELL("filename",B2),LEN(CELL("filename",B2))-SEARCH("[",CELL("filename",B2))))-1)</f>
        <v>2012 Pricing Trends - model - NT</v>
      </c>
      <c r="C1" s="10"/>
    </row>
    <row r="2" spans="1:7" s="9" customFormat="1" ht="18.75" x14ac:dyDescent="0.3">
      <c r="B2" s="11" t="str">
        <f ca="1">RIGHT(CELL("filename",B2),LEN(CELL("filename",B2))-SEARCH("]",CELL("filename",B2)))</f>
        <v>Index</v>
      </c>
      <c r="C2" s="12"/>
    </row>
    <row r="3" spans="1:7" s="9" customFormat="1" ht="13.5" x14ac:dyDescent="0.25"/>
    <row r="4" spans="1:7" s="9" customFormat="1" ht="15" x14ac:dyDescent="0.3">
      <c r="B4" s="13"/>
      <c r="C4" s="13"/>
      <c r="D4" s="13"/>
      <c r="E4" s="13"/>
      <c r="F4" s="13"/>
      <c r="G4" s="13"/>
    </row>
    <row r="6" spans="1:7" ht="18.75" x14ac:dyDescent="0.3">
      <c r="A6" s="3" t="s">
        <v>44</v>
      </c>
    </row>
    <row r="7" spans="1:7" x14ac:dyDescent="0.3">
      <c r="A7" s="4" t="s">
        <v>45</v>
      </c>
    </row>
    <row r="8" spans="1:7" x14ac:dyDescent="0.3">
      <c r="A8" s="4" t="s">
        <v>46</v>
      </c>
    </row>
    <row r="9" spans="1:7" x14ac:dyDescent="0.3">
      <c r="A9" s="4" t="s">
        <v>47</v>
      </c>
    </row>
    <row r="10" spans="1:7" x14ac:dyDescent="0.3">
      <c r="A10" s="4" t="s">
        <v>48</v>
      </c>
    </row>
    <row r="11" spans="1:7" x14ac:dyDescent="0.3">
      <c r="A11" s="4" t="s">
        <v>108</v>
      </c>
    </row>
    <row r="12" spans="1:7" x14ac:dyDescent="0.3">
      <c r="A12" s="4" t="s">
        <v>109</v>
      </c>
    </row>
    <row r="15" spans="1:7" ht="18.75" x14ac:dyDescent="0.3">
      <c r="A15" s="3" t="s">
        <v>50</v>
      </c>
      <c r="B15" s="4" t="s">
        <v>51</v>
      </c>
      <c r="C15" s="4" t="s">
        <v>53</v>
      </c>
      <c r="D15" s="4" t="s">
        <v>52</v>
      </c>
    </row>
    <row r="16" spans="1:7" x14ac:dyDescent="0.3">
      <c r="A16" s="4">
        <v>1</v>
      </c>
      <c r="B16" s="4" t="s">
        <v>132</v>
      </c>
      <c r="C16" s="55">
        <v>41165</v>
      </c>
      <c r="D16" s="4" t="s">
        <v>54</v>
      </c>
    </row>
    <row r="20" spans="1:9" ht="19.5" thickBot="1" x14ac:dyDescent="0.35">
      <c r="A20" s="3" t="s">
        <v>49</v>
      </c>
    </row>
    <row r="21" spans="1:9" ht="17.25" thickBot="1" x14ac:dyDescent="0.35">
      <c r="A21" s="145" t="s">
        <v>95</v>
      </c>
      <c r="B21" s="146"/>
      <c r="C21" s="146"/>
      <c r="D21" s="146"/>
      <c r="E21" s="146"/>
      <c r="F21" s="146"/>
      <c r="G21" s="146"/>
      <c r="H21" s="146"/>
      <c r="I21" s="147"/>
    </row>
    <row r="22" spans="1:9" ht="17.25" thickBot="1" x14ac:dyDescent="0.35">
      <c r="A22" s="145" t="s">
        <v>96</v>
      </c>
      <c r="B22" s="146"/>
      <c r="C22" s="146"/>
      <c r="D22" s="146"/>
      <c r="E22" s="146"/>
      <c r="F22" s="146"/>
      <c r="G22" s="146"/>
      <c r="H22" s="146"/>
      <c r="I22" s="147"/>
    </row>
    <row r="23" spans="1:9" ht="17.25" thickBot="1" x14ac:dyDescent="0.35">
      <c r="A23" s="145" t="s">
        <v>130</v>
      </c>
      <c r="B23" s="146"/>
      <c r="C23" s="146"/>
      <c r="D23" s="146"/>
      <c r="E23" s="146"/>
      <c r="F23" s="146"/>
      <c r="G23" s="146"/>
      <c r="H23" s="146"/>
      <c r="I23" s="147"/>
    </row>
    <row r="24" spans="1:9" ht="17.25" thickBot="1" x14ac:dyDescent="0.35">
      <c r="A24" s="145" t="s">
        <v>97</v>
      </c>
      <c r="B24" s="146"/>
      <c r="C24" s="146"/>
      <c r="D24" s="146"/>
      <c r="E24" s="146"/>
      <c r="F24" s="146"/>
      <c r="G24" s="146"/>
      <c r="H24" s="146"/>
      <c r="I24" s="147"/>
    </row>
    <row r="25" spans="1:9" ht="17.25" thickBot="1" x14ac:dyDescent="0.35">
      <c r="A25" s="145" t="s">
        <v>104</v>
      </c>
      <c r="B25" s="146"/>
      <c r="C25" s="146"/>
      <c r="D25" s="146"/>
      <c r="E25" s="146"/>
      <c r="F25" s="146"/>
      <c r="G25" s="146"/>
      <c r="H25" s="146"/>
      <c r="I25" s="147"/>
    </row>
    <row r="26" spans="1:9" ht="17.25" thickBot="1" x14ac:dyDescent="0.35">
      <c r="A26" s="145" t="s">
        <v>105</v>
      </c>
      <c r="B26" s="146"/>
      <c r="C26" s="146"/>
      <c r="D26" s="146"/>
      <c r="E26" s="146"/>
      <c r="F26" s="146"/>
      <c r="G26" s="146"/>
      <c r="H26" s="146"/>
      <c r="I26" s="147"/>
    </row>
    <row r="27" spans="1:9" ht="17.25" thickBot="1" x14ac:dyDescent="0.35">
      <c r="A27" s="148" t="s">
        <v>107</v>
      </c>
      <c r="B27" s="149"/>
      <c r="C27" s="149"/>
      <c r="D27" s="149"/>
      <c r="E27" s="149"/>
      <c r="F27" s="149"/>
      <c r="G27" s="149"/>
      <c r="H27" s="149"/>
      <c r="I27" s="150"/>
    </row>
    <row r="28" spans="1:9" ht="33.75" customHeight="1" thickBot="1" x14ac:dyDescent="0.35">
      <c r="A28" s="148" t="s">
        <v>106</v>
      </c>
      <c r="B28" s="149"/>
      <c r="C28" s="149"/>
      <c r="D28" s="149"/>
      <c r="E28" s="149"/>
      <c r="F28" s="149"/>
      <c r="G28" s="149"/>
      <c r="H28" s="149"/>
      <c r="I28" s="150"/>
    </row>
    <row r="29" spans="1:9" ht="35.25" customHeight="1" thickBot="1" x14ac:dyDescent="0.35">
      <c r="A29" s="145" t="str">
        <f>Scheme2 &amp; " is always included in total retail costs."</f>
        <v>blank is always included in total retail costs.</v>
      </c>
      <c r="B29" s="146"/>
      <c r="C29" s="146"/>
      <c r="D29" s="146"/>
      <c r="E29" s="146"/>
      <c r="F29" s="146"/>
      <c r="G29" s="146"/>
      <c r="H29" s="146"/>
      <c r="I29" s="147"/>
    </row>
    <row r="30" spans="1:9" ht="17.25" thickBot="1" x14ac:dyDescent="0.35">
      <c r="A30" s="145" t="s">
        <v>119</v>
      </c>
      <c r="B30" s="146"/>
      <c r="C30" s="146"/>
      <c r="D30" s="146"/>
      <c r="E30" s="146"/>
      <c r="F30" s="146"/>
      <c r="G30" s="146"/>
      <c r="H30" s="146"/>
      <c r="I30" s="147"/>
    </row>
    <row r="31" spans="1:9" ht="17.25" thickBot="1" x14ac:dyDescent="0.35">
      <c r="A31" s="145" t="s">
        <v>131</v>
      </c>
      <c r="B31" s="146"/>
      <c r="C31" s="146"/>
      <c r="D31" s="146"/>
      <c r="E31" s="146"/>
      <c r="F31" s="146"/>
      <c r="G31" s="146"/>
      <c r="H31" s="146"/>
      <c r="I31" s="147"/>
    </row>
  </sheetData>
  <mergeCells count="11">
    <mergeCell ref="A31:I31"/>
    <mergeCell ref="A30:I3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52" sqref="D52"/>
    </sheetView>
  </sheetViews>
  <sheetFormatPr defaultColWidth="9.140625" defaultRowHeight="13.5" x14ac:dyDescent="0.25"/>
  <cols>
    <col min="1" max="1" width="61.140625" style="50" bestFit="1" customWidth="1"/>
    <col min="2" max="2" width="18.85546875" style="50" bestFit="1" customWidth="1"/>
    <col min="3" max="3" width="10.5703125" style="50" customWidth="1"/>
    <col min="4" max="8" width="14.5703125" style="50" bestFit="1" customWidth="1"/>
    <col min="9" max="9" width="12" style="50" bestFit="1" customWidth="1"/>
    <col min="10" max="10" width="9.85546875" style="50" bestFit="1" customWidth="1"/>
    <col min="11" max="13" width="9.5703125" style="50" bestFit="1" customWidth="1"/>
    <col min="14" max="16384" width="9.140625" style="50"/>
  </cols>
  <sheetData>
    <row r="1" spans="1:9" s="9" customFormat="1" ht="23.25" x14ac:dyDescent="0.35">
      <c r="A1" s="9" t="s">
        <v>1</v>
      </c>
      <c r="B1" s="51" t="str">
        <f ca="1">Index!B1</f>
        <v>2012 Pricing Trends - model - NT</v>
      </c>
      <c r="C1" s="10"/>
      <c r="I1" s="104" t="s">
        <v>31</v>
      </c>
    </row>
    <row r="2" spans="1:9" s="9" customFormat="1" ht="18.75" x14ac:dyDescent="0.3">
      <c r="B2" s="11" t="str">
        <f ca="1">RIGHT(CELL("filename",B2),LEN(CELL("filename",B2))-SEARCH("]",CELL("filename",B2)))</f>
        <v>Input Global</v>
      </c>
      <c r="C2" s="12"/>
      <c r="I2" s="61" t="s">
        <v>25</v>
      </c>
    </row>
    <row r="3" spans="1:9" s="9" customFormat="1" ht="16.5" x14ac:dyDescent="0.3">
      <c r="I3" s="62" t="s">
        <v>32</v>
      </c>
    </row>
    <row r="4" spans="1:9" s="9" customFormat="1" ht="15" x14ac:dyDescent="0.3">
      <c r="B4" s="13" t="s">
        <v>10</v>
      </c>
      <c r="C4" s="13" t="s">
        <v>8</v>
      </c>
      <c r="D4" s="13" t="s">
        <v>5</v>
      </c>
      <c r="E4" s="13" t="s">
        <v>4</v>
      </c>
      <c r="F4" s="13" t="s">
        <v>3</v>
      </c>
      <c r="G4" s="13" t="s">
        <v>58</v>
      </c>
      <c r="H4" s="13" t="s">
        <v>2</v>
      </c>
    </row>
    <row r="7" spans="1:9" ht="18.75" x14ac:dyDescent="0.3">
      <c r="A7" s="3" t="s">
        <v>139</v>
      </c>
      <c r="B7" s="50" t="s">
        <v>59</v>
      </c>
    </row>
    <row r="8" spans="1:9" s="21" customFormat="1" ht="16.5" x14ac:dyDescent="0.3">
      <c r="A8" s="21" t="s">
        <v>140</v>
      </c>
      <c r="B8" s="120" t="s">
        <v>133</v>
      </c>
    </row>
    <row r="9" spans="1:9" s="21" customFormat="1" ht="16.5" hidden="1" x14ac:dyDescent="0.3">
      <c r="A9" s="87" t="s">
        <v>141</v>
      </c>
      <c r="B9" s="120" t="s">
        <v>137</v>
      </c>
    </row>
    <row r="10" spans="1:9" s="21" customFormat="1" ht="16.5" hidden="1" x14ac:dyDescent="0.3">
      <c r="A10" s="87" t="s">
        <v>142</v>
      </c>
      <c r="B10" s="120" t="s">
        <v>137</v>
      </c>
    </row>
    <row r="11" spans="1:9" s="21" customFormat="1" ht="16.5" hidden="1" x14ac:dyDescent="0.3">
      <c r="A11" s="87" t="s">
        <v>143</v>
      </c>
      <c r="B11" s="120" t="s">
        <v>137</v>
      </c>
    </row>
    <row r="12" spans="1:9" s="21" customFormat="1" ht="16.5" hidden="1" x14ac:dyDescent="0.3">
      <c r="A12" s="87" t="s">
        <v>144</v>
      </c>
      <c r="B12" s="120" t="s">
        <v>137</v>
      </c>
    </row>
    <row r="13" spans="1:9" s="21" customFormat="1" ht="16.5" x14ac:dyDescent="0.3"/>
    <row r="14" spans="1:9" ht="18.75" x14ac:dyDescent="0.3">
      <c r="A14" s="3" t="s">
        <v>0</v>
      </c>
      <c r="F14" s="108"/>
    </row>
    <row r="15" spans="1:9" s="21" customFormat="1" ht="16.5" x14ac:dyDescent="0.3">
      <c r="A15" s="21" t="s">
        <v>61</v>
      </c>
      <c r="F15" s="31"/>
      <c r="G15" s="137">
        <v>2.5000000000000001E-2</v>
      </c>
    </row>
    <row r="17" spans="1:8" ht="18.75" x14ac:dyDescent="0.3">
      <c r="A17" s="3" t="s">
        <v>7</v>
      </c>
      <c r="B17" s="52"/>
      <c r="C17" s="52"/>
    </row>
    <row r="18" spans="1:8" s="21" customFormat="1" ht="16.5" x14ac:dyDescent="0.3">
      <c r="A18" s="21" t="str">
        <f>Dist1</f>
        <v>Northern Territory</v>
      </c>
      <c r="B18" s="120" t="s">
        <v>134</v>
      </c>
      <c r="C18" s="21" t="s">
        <v>14</v>
      </c>
      <c r="D18" s="124">
        <v>8904</v>
      </c>
      <c r="E18" s="124">
        <v>8904</v>
      </c>
      <c r="F18" s="124">
        <v>8904</v>
      </c>
      <c r="G18" s="124">
        <v>8904</v>
      </c>
      <c r="H18" s="124">
        <v>8904</v>
      </c>
    </row>
    <row r="19" spans="1:8" s="21" customFormat="1" ht="16.5" hidden="1" x14ac:dyDescent="0.3">
      <c r="A19" s="21" t="str">
        <f>Dist2</f>
        <v>blank</v>
      </c>
      <c r="B19" s="120"/>
      <c r="C19" s="21" t="s">
        <v>14</v>
      </c>
      <c r="D19" s="124"/>
      <c r="E19" s="124"/>
      <c r="F19" s="124"/>
      <c r="G19" s="124"/>
      <c r="H19" s="124"/>
    </row>
    <row r="20" spans="1:8" s="21" customFormat="1" ht="16.5" hidden="1" x14ac:dyDescent="0.3">
      <c r="A20" s="21" t="str">
        <f>Dist3</f>
        <v>blank</v>
      </c>
      <c r="B20" s="120"/>
      <c r="C20" s="21" t="s">
        <v>14</v>
      </c>
      <c r="D20" s="124"/>
      <c r="E20" s="124"/>
      <c r="F20" s="124"/>
      <c r="G20" s="124"/>
      <c r="H20" s="124"/>
    </row>
    <row r="21" spans="1:8" s="21" customFormat="1" ht="16.5" hidden="1" x14ac:dyDescent="0.3">
      <c r="A21" s="21" t="str">
        <f>Dist4</f>
        <v>blank</v>
      </c>
      <c r="B21" s="120"/>
      <c r="C21" s="21" t="s">
        <v>14</v>
      </c>
      <c r="D21" s="124"/>
      <c r="E21" s="124"/>
      <c r="F21" s="124"/>
      <c r="G21" s="124"/>
      <c r="H21" s="124"/>
    </row>
    <row r="22" spans="1:8" s="21" customFormat="1" ht="16.5" hidden="1" x14ac:dyDescent="0.3">
      <c r="A22" s="21" t="str">
        <f>Dist5</f>
        <v>blank</v>
      </c>
      <c r="B22" s="120"/>
      <c r="C22" s="21" t="s">
        <v>14</v>
      </c>
      <c r="D22" s="124"/>
      <c r="E22" s="124"/>
      <c r="F22" s="124"/>
      <c r="G22" s="124"/>
      <c r="H22" s="124"/>
    </row>
    <row r="24" spans="1:8" ht="18.75" x14ac:dyDescent="0.3">
      <c r="A24" s="3" t="s">
        <v>6</v>
      </c>
    </row>
    <row r="25" spans="1:8" s="21" customFormat="1" ht="16.5" x14ac:dyDescent="0.3">
      <c r="A25" s="21" t="str">
        <f>Dist1</f>
        <v>Northern Territory</v>
      </c>
      <c r="B25" s="120"/>
      <c r="C25" s="21" t="s">
        <v>9</v>
      </c>
      <c r="D25" s="124">
        <v>72288</v>
      </c>
      <c r="E25" s="124">
        <v>72338</v>
      </c>
      <c r="F25" s="124">
        <v>72877</v>
      </c>
      <c r="G25" s="124">
        <v>73413</v>
      </c>
      <c r="H25" s="124">
        <v>74665</v>
      </c>
    </row>
    <row r="26" spans="1:8" s="21" customFormat="1" ht="16.5" hidden="1" x14ac:dyDescent="0.3">
      <c r="A26" s="21" t="str">
        <f>Dist2</f>
        <v>blank</v>
      </c>
      <c r="B26" s="120"/>
      <c r="C26" s="21" t="s">
        <v>9</v>
      </c>
      <c r="D26" s="124"/>
      <c r="E26" s="124"/>
      <c r="F26" s="124"/>
      <c r="G26" s="124"/>
      <c r="H26" s="124"/>
    </row>
    <row r="27" spans="1:8" s="21" customFormat="1" ht="16.5" hidden="1" x14ac:dyDescent="0.3">
      <c r="A27" s="21" t="str">
        <f>Dist3</f>
        <v>blank</v>
      </c>
      <c r="B27" s="120"/>
      <c r="C27" s="21" t="s">
        <v>9</v>
      </c>
      <c r="D27" s="124"/>
      <c r="E27" s="124"/>
      <c r="F27" s="124"/>
      <c r="G27" s="124"/>
      <c r="H27" s="124"/>
    </row>
    <row r="28" spans="1:8" s="21" customFormat="1" ht="16.5" hidden="1" x14ac:dyDescent="0.3">
      <c r="A28" s="21" t="str">
        <f>Dist4</f>
        <v>blank</v>
      </c>
      <c r="B28" s="120"/>
      <c r="C28" s="21" t="s">
        <v>9</v>
      </c>
      <c r="D28" s="124"/>
      <c r="E28" s="124"/>
      <c r="F28" s="124"/>
      <c r="G28" s="124"/>
      <c r="H28" s="124"/>
    </row>
    <row r="29" spans="1:8" s="21" customFormat="1" ht="16.5" hidden="1" x14ac:dyDescent="0.3">
      <c r="A29" s="21" t="str">
        <f>Dist5</f>
        <v>blank</v>
      </c>
      <c r="B29" s="120"/>
      <c r="C29" s="21" t="s">
        <v>9</v>
      </c>
      <c r="D29" s="124"/>
      <c r="E29" s="124"/>
      <c r="F29" s="124"/>
      <c r="G29" s="124"/>
      <c r="H29" s="124"/>
    </row>
    <row r="30" spans="1:8" s="21" customFormat="1" ht="16.5" x14ac:dyDescent="0.3">
      <c r="A30" s="21" t="s">
        <v>55</v>
      </c>
      <c r="D30" s="91">
        <f>SUM(D25:D29)</f>
        <v>72288</v>
      </c>
      <c r="E30" s="91">
        <f t="shared" ref="E30:H30" si="0">SUM(E25:E29)</f>
        <v>72338</v>
      </c>
      <c r="F30" s="91">
        <f t="shared" si="0"/>
        <v>72877</v>
      </c>
      <c r="G30" s="91">
        <f t="shared" si="0"/>
        <v>73413</v>
      </c>
      <c r="H30" s="91">
        <f t="shared" si="0"/>
        <v>74665</v>
      </c>
    </row>
    <row r="32" spans="1:8" ht="18.75" x14ac:dyDescent="0.3">
      <c r="A32" s="3" t="s">
        <v>43</v>
      </c>
    </row>
    <row r="33" spans="1:13" s="21" customFormat="1" ht="16.5" x14ac:dyDescent="0.3">
      <c r="A33" s="21" t="str">
        <f>Dist1 &amp; " region"</f>
        <v>Northern Territory region</v>
      </c>
      <c r="B33" s="120"/>
      <c r="C33" s="21" t="s">
        <v>23</v>
      </c>
      <c r="D33" s="138"/>
      <c r="E33" s="138"/>
      <c r="F33" s="138"/>
      <c r="G33" s="138"/>
      <c r="H33" s="138"/>
      <c r="I33" s="50"/>
      <c r="J33" s="50"/>
      <c r="K33" s="50"/>
      <c r="L33" s="50"/>
      <c r="M33" s="43"/>
    </row>
    <row r="34" spans="1:13" s="21" customFormat="1" ht="16.5" hidden="1" x14ac:dyDescent="0.3">
      <c r="A34" s="21" t="str">
        <f>Dist2 &amp; " region"</f>
        <v>blank region</v>
      </c>
      <c r="B34" s="120"/>
      <c r="C34" s="21" t="s">
        <v>23</v>
      </c>
      <c r="D34" s="138"/>
      <c r="E34" s="138"/>
      <c r="F34" s="138"/>
      <c r="G34" s="138"/>
      <c r="H34" s="138"/>
      <c r="I34" s="50"/>
      <c r="J34" s="50"/>
      <c r="K34" s="50"/>
      <c r="L34" s="50"/>
      <c r="M34" s="43"/>
    </row>
    <row r="35" spans="1:13" s="21" customFormat="1" ht="16.5" hidden="1" x14ac:dyDescent="0.3">
      <c r="A35" s="21" t="str">
        <f>Dist3 &amp; " region"</f>
        <v>blank region</v>
      </c>
      <c r="B35" s="120"/>
      <c r="C35" s="21" t="s">
        <v>23</v>
      </c>
      <c r="D35" s="138"/>
      <c r="E35" s="138"/>
      <c r="F35" s="138"/>
      <c r="G35" s="138"/>
      <c r="H35" s="138"/>
      <c r="I35" s="50"/>
      <c r="J35" s="50"/>
      <c r="K35" s="50"/>
      <c r="L35" s="50"/>
      <c r="M35" s="43"/>
    </row>
    <row r="36" spans="1:13" s="21" customFormat="1" ht="16.5" hidden="1" x14ac:dyDescent="0.3">
      <c r="A36" s="21" t="str">
        <f>Dist4 &amp; " region"</f>
        <v>blank region</v>
      </c>
      <c r="B36" s="120"/>
      <c r="C36" s="21" t="s">
        <v>23</v>
      </c>
      <c r="D36" s="138"/>
      <c r="E36" s="138"/>
      <c r="F36" s="138"/>
      <c r="G36" s="138"/>
      <c r="H36" s="138"/>
      <c r="I36" s="50"/>
      <c r="J36" s="50"/>
      <c r="K36" s="50"/>
      <c r="L36" s="50"/>
      <c r="M36" s="43"/>
    </row>
    <row r="37" spans="1:13" s="21" customFormat="1" ht="16.5" hidden="1" x14ac:dyDescent="0.3">
      <c r="A37" s="21" t="str">
        <f>Dist5 &amp; " region"</f>
        <v>blank region</v>
      </c>
      <c r="B37" s="120"/>
      <c r="C37" s="21" t="s">
        <v>23</v>
      </c>
      <c r="D37" s="138"/>
      <c r="E37" s="138"/>
      <c r="F37" s="138"/>
      <c r="G37" s="138"/>
      <c r="H37" s="138"/>
      <c r="I37" s="50"/>
      <c r="J37" s="50"/>
      <c r="K37" s="50"/>
      <c r="L37" s="50"/>
      <c r="M37" s="43"/>
    </row>
    <row r="38" spans="1:13" s="21" customFormat="1" ht="16.5" x14ac:dyDescent="0.3">
      <c r="A38" s="28"/>
      <c r="D38" s="56"/>
      <c r="E38" s="56"/>
      <c r="F38" s="56"/>
      <c r="I38" s="50"/>
      <c r="J38" s="50"/>
      <c r="K38" s="50"/>
      <c r="L38" s="50"/>
    </row>
    <row r="39" spans="1:13" ht="18.75" x14ac:dyDescent="0.3">
      <c r="A39" s="3" t="s">
        <v>60</v>
      </c>
      <c r="F39" s="53"/>
    </row>
    <row r="40" spans="1:13" s="21" customFormat="1" ht="16.5" x14ac:dyDescent="0.3">
      <c r="A40" s="88" t="s">
        <v>135</v>
      </c>
      <c r="B40" s="120"/>
      <c r="C40" s="87" t="s">
        <v>23</v>
      </c>
      <c r="E40" s="137"/>
      <c r="F40" s="137"/>
      <c r="G40" s="137"/>
      <c r="H40" s="137"/>
      <c r="J40" s="87"/>
      <c r="K40" s="87"/>
      <c r="M40" s="31"/>
    </row>
    <row r="41" spans="1:13" s="21" customFormat="1" ht="16.5" x14ac:dyDescent="0.3">
      <c r="A41" s="21" t="str">
        <f>Dist1</f>
        <v>Northern Territory</v>
      </c>
      <c r="B41" s="120"/>
      <c r="C41" s="87" t="s">
        <v>23</v>
      </c>
      <c r="E41" s="137"/>
      <c r="F41" s="137"/>
      <c r="G41" s="139">
        <v>-8.5000000000000006E-3</v>
      </c>
      <c r="H41" s="139">
        <v>-8.5000000000000006E-3</v>
      </c>
      <c r="J41" s="87"/>
      <c r="K41" s="87"/>
    </row>
    <row r="42" spans="1:13" s="21" customFormat="1" ht="16.5" hidden="1" x14ac:dyDescent="0.3">
      <c r="A42" s="21" t="str">
        <f>Dist2</f>
        <v>blank</v>
      </c>
      <c r="B42" s="120"/>
      <c r="C42" s="87" t="s">
        <v>23</v>
      </c>
      <c r="E42" s="137"/>
      <c r="F42" s="137"/>
      <c r="G42" s="137"/>
      <c r="H42" s="137"/>
      <c r="J42" s="50"/>
      <c r="K42" s="50"/>
      <c r="M42" s="109"/>
    </row>
    <row r="43" spans="1:13" s="21" customFormat="1" ht="16.5" hidden="1" x14ac:dyDescent="0.3">
      <c r="A43" s="21" t="str">
        <f>Dist3</f>
        <v>blank</v>
      </c>
      <c r="B43" s="120"/>
      <c r="C43" s="87" t="s">
        <v>23</v>
      </c>
      <c r="E43" s="137"/>
      <c r="F43" s="137"/>
      <c r="G43" s="137"/>
      <c r="H43" s="137"/>
      <c r="J43" s="50"/>
      <c r="K43" s="50"/>
    </row>
    <row r="44" spans="1:13" s="21" customFormat="1" ht="16.5" hidden="1" x14ac:dyDescent="0.3">
      <c r="A44" s="21" t="str">
        <f>Dist4</f>
        <v>blank</v>
      </c>
      <c r="B44" s="120"/>
      <c r="C44" s="87" t="s">
        <v>23</v>
      </c>
      <c r="E44" s="137"/>
      <c r="F44" s="137"/>
      <c r="G44" s="137"/>
      <c r="H44" s="137"/>
    </row>
    <row r="45" spans="1:13" s="21" customFormat="1" ht="16.5" hidden="1" x14ac:dyDescent="0.3">
      <c r="A45" s="21" t="str">
        <f>Dist5</f>
        <v>blank</v>
      </c>
      <c r="B45" s="120"/>
      <c r="C45" s="87" t="s">
        <v>23</v>
      </c>
      <c r="E45" s="137"/>
      <c r="F45" s="137"/>
      <c r="G45" s="137"/>
      <c r="H45" s="137"/>
    </row>
    <row r="46" spans="1:13" s="87" customFormat="1" ht="16.5" x14ac:dyDescent="0.3">
      <c r="J46" s="50"/>
      <c r="K46" s="50"/>
    </row>
    <row r="47" spans="1:13" s="87" customFormat="1" ht="16.5" x14ac:dyDescent="0.3">
      <c r="A47" s="87" t="str">
        <f>TNSP &amp; " growth factor"</f>
        <v>TNSP growth factor</v>
      </c>
      <c r="B47" s="120"/>
      <c r="C47" s="87" t="s">
        <v>23</v>
      </c>
      <c r="D47" s="139"/>
      <c r="E47" s="139"/>
      <c r="F47" s="139"/>
      <c r="G47" s="139"/>
      <c r="H47" s="139"/>
      <c r="J47" s="50"/>
      <c r="K47" s="50"/>
    </row>
    <row r="48" spans="1:13" s="87" customFormat="1" ht="16.5" x14ac:dyDescent="0.3">
      <c r="J48" s="21"/>
      <c r="K48" s="21"/>
    </row>
    <row r="49" spans="1:11" ht="16.5" x14ac:dyDescent="0.3">
      <c r="J49" s="21"/>
      <c r="K49" s="21"/>
    </row>
    <row r="50" spans="1:11" ht="18.75" x14ac:dyDescent="0.3">
      <c r="A50" s="3" t="s">
        <v>63</v>
      </c>
    </row>
    <row r="51" spans="1:11" s="21" customFormat="1" ht="16.5" x14ac:dyDescent="0.3">
      <c r="A51" s="120" t="s">
        <v>137</v>
      </c>
      <c r="J51" s="50"/>
      <c r="K51" s="50"/>
    </row>
    <row r="52" spans="1:11" s="21" customFormat="1" ht="16.5" x14ac:dyDescent="0.3">
      <c r="A52" s="120" t="s">
        <v>137</v>
      </c>
      <c r="J52" s="50"/>
      <c r="K52" s="50"/>
    </row>
    <row r="53" spans="1:11" ht="16.5" x14ac:dyDescent="0.3">
      <c r="J53" s="87"/>
      <c r="K53" s="87"/>
    </row>
    <row r="54" spans="1:11" ht="18.75" x14ac:dyDescent="0.3">
      <c r="A54" s="3" t="s">
        <v>75</v>
      </c>
      <c r="J54" s="87"/>
      <c r="K54" s="87"/>
    </row>
    <row r="55" spans="1:11" s="21" customFormat="1" ht="16.5" x14ac:dyDescent="0.3">
      <c r="A55" s="63" t="s">
        <v>76</v>
      </c>
      <c r="B55" s="88" t="s">
        <v>117</v>
      </c>
    </row>
    <row r="56" spans="1:11" s="21" customFormat="1" ht="16.5" x14ac:dyDescent="0.3">
      <c r="A56" s="63" t="s">
        <v>77</v>
      </c>
      <c r="B56" s="88" t="s">
        <v>118</v>
      </c>
    </row>
    <row r="57" spans="1:11" ht="16.5" x14ac:dyDescent="0.3">
      <c r="B57" s="88" t="s">
        <v>116</v>
      </c>
    </row>
    <row r="59" spans="1:11" ht="18.75" x14ac:dyDescent="0.3">
      <c r="A59" s="3" t="s">
        <v>125</v>
      </c>
    </row>
    <row r="60" spans="1:11" s="87" customFormat="1" ht="16.5" x14ac:dyDescent="0.3">
      <c r="A60" s="87" t="s">
        <v>115</v>
      </c>
      <c r="B60" s="120" t="s">
        <v>118</v>
      </c>
      <c r="C60" s="96"/>
      <c r="E60" s="96"/>
      <c r="F60" s="96"/>
      <c r="G60" s="96"/>
      <c r="H60" s="96"/>
      <c r="J60" s="50"/>
      <c r="K60" s="50"/>
    </row>
    <row r="61" spans="1:11" s="87" customFormat="1" ht="14.25" customHeight="1" x14ac:dyDescent="0.3">
      <c r="A61" s="87" t="str">
        <f>"Is "&amp;Scheme1&amp;" included as part of total retail costs"</f>
        <v>Is blank included as part of total retail costs</v>
      </c>
      <c r="B61" s="120" t="s">
        <v>76</v>
      </c>
      <c r="E61" s="96"/>
      <c r="F61" s="100"/>
      <c r="G61" s="41"/>
      <c r="H61" s="41"/>
      <c r="J61" s="50"/>
      <c r="K61" s="50"/>
    </row>
    <row r="62" spans="1:11" s="21" customFormat="1" ht="16.5" x14ac:dyDescent="0.3">
      <c r="A62" s="21" t="s">
        <v>80</v>
      </c>
      <c r="B62" s="120" t="s">
        <v>77</v>
      </c>
      <c r="F62" s="39"/>
      <c r="J62" s="50"/>
      <c r="K62" s="50"/>
    </row>
    <row r="63" spans="1:11" s="21" customFormat="1" ht="16.5" x14ac:dyDescent="0.3">
      <c r="A63" s="78" t="s">
        <v>88</v>
      </c>
      <c r="B63" s="120" t="s">
        <v>76</v>
      </c>
      <c r="C63" s="78"/>
      <c r="J63" s="50"/>
      <c r="K63" s="50"/>
    </row>
    <row r="64" spans="1:11" ht="16.5" x14ac:dyDescent="0.3">
      <c r="A64" s="87" t="s">
        <v>127</v>
      </c>
      <c r="B64" s="87"/>
      <c r="C64" s="87"/>
      <c r="D64" s="120" t="s">
        <v>77</v>
      </c>
      <c r="E64" s="120" t="s">
        <v>77</v>
      </c>
      <c r="F64" s="120" t="s">
        <v>77</v>
      </c>
      <c r="G64" s="120" t="s">
        <v>77</v>
      </c>
      <c r="H64" s="120" t="s">
        <v>77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47"/>
  <sheetViews>
    <sheetView topLeftCell="A244" workbookViewId="0">
      <selection activeCell="D254" sqref="D254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81" customFormat="1" ht="23.25" x14ac:dyDescent="0.35">
      <c r="A1" s="81" t="s">
        <v>1</v>
      </c>
      <c r="B1" s="106" t="str">
        <f ca="1">'Input Global'!B1</f>
        <v>2012 Pricing Trends - model - NT</v>
      </c>
      <c r="C1" s="82"/>
      <c r="D1" s="82"/>
      <c r="E1" s="82"/>
      <c r="F1" s="82"/>
      <c r="I1" s="88" t="s">
        <v>31</v>
      </c>
    </row>
    <row r="2" spans="1:11" s="81" customFormat="1" ht="19.5" thickBot="1" x14ac:dyDescent="0.35">
      <c r="B2" s="83" t="str">
        <f ca="1">RIGHT(CELL("filename",B2),LEN(CELL("filename",B2))-SEARCH("]",CELL("filename",B2)))</f>
        <v>Input Frontier</v>
      </c>
      <c r="C2" s="83"/>
      <c r="D2" s="83"/>
      <c r="E2" s="83"/>
      <c r="F2" s="83"/>
      <c r="I2" s="69" t="s">
        <v>25</v>
      </c>
    </row>
    <row r="3" spans="1:11" s="81" customFormat="1" ht="16.5" x14ac:dyDescent="0.3">
      <c r="I3" s="75" t="s">
        <v>32</v>
      </c>
    </row>
    <row r="4" spans="1:11" s="81" customFormat="1" ht="15.75" x14ac:dyDescent="0.3">
      <c r="B4" s="13"/>
      <c r="C4" s="84" t="s">
        <v>8</v>
      </c>
      <c r="D4" s="84" t="str">
        <f>'Input Global'!D4</f>
        <v>2010/11</v>
      </c>
      <c r="E4" s="84" t="str">
        <f>'Input Global'!E4</f>
        <v>2011/12</v>
      </c>
      <c r="F4" s="84" t="str">
        <f>'Input Global'!F4</f>
        <v>2012/13</v>
      </c>
      <c r="G4" s="84" t="str">
        <f>'Input Global'!G4</f>
        <v>2013/14</v>
      </c>
      <c r="H4" s="84" t="str">
        <f>'Input Global'!H4</f>
        <v>2014/15</v>
      </c>
    </row>
    <row r="6" spans="1:11" s="23" customFormat="1" ht="18.75" x14ac:dyDescent="0.3">
      <c r="A6" s="22" t="s">
        <v>112</v>
      </c>
    </row>
    <row r="8" spans="1:11" ht="16.5" x14ac:dyDescent="0.3">
      <c r="A8" t="str">
        <f>A176</f>
        <v xml:space="preserve">Market Fees </v>
      </c>
      <c r="B8" t="s">
        <v>37</v>
      </c>
      <c r="C8" t="s">
        <v>129</v>
      </c>
      <c r="F8" s="94">
        <f>F176*100/1000</f>
        <v>0</v>
      </c>
      <c r="G8" s="94">
        <f>G176*(1+inflation)*100/1000</f>
        <v>0</v>
      </c>
      <c r="H8" s="94">
        <f>H176*(1+inflation)^2*100/1000</f>
        <v>0</v>
      </c>
    </row>
    <row r="9" spans="1:11" ht="16.5" x14ac:dyDescent="0.3">
      <c r="A9" t="str">
        <f>A177</f>
        <v>Ancillary Services</v>
      </c>
      <c r="B9" t="s">
        <v>37</v>
      </c>
      <c r="C9" t="s">
        <v>129</v>
      </c>
      <c r="F9" s="94">
        <f>F177*100/1000</f>
        <v>0</v>
      </c>
      <c r="G9" s="94">
        <f>G177*(1+inflation)*100/1000</f>
        <v>0</v>
      </c>
      <c r="H9" s="94">
        <f>H177*(1+inflation)^2*100/1000</f>
        <v>0</v>
      </c>
    </row>
    <row r="11" spans="1:11" x14ac:dyDescent="0.25">
      <c r="A11" s="24" t="str">
        <f>A179</f>
        <v>Northern Territory</v>
      </c>
    </row>
    <row r="12" spans="1:11" ht="16.5" x14ac:dyDescent="0.3">
      <c r="A12" t="e">
        <f>A180</f>
        <v>#REF!</v>
      </c>
      <c r="B12" t="s">
        <v>37</v>
      </c>
      <c r="C12" t="s">
        <v>129</v>
      </c>
      <c r="F12" s="94">
        <f>IF('Input General'!F355=0, F180*100/1000+F$8+F$9, F180*100/1000+F$9)</f>
        <v>0</v>
      </c>
      <c r="G12" s="94">
        <f>IF('Input General'!G355=0, G180*(1+inflation)*100/1000+G$9+G$8, G180*(1+inflation)*100/1000+G$9)</f>
        <v>0</v>
      </c>
      <c r="H12" s="94">
        <f>IF('Input General'!H355=0,H180*(1+inflation)^2*100/1000+H$8+H$9,H180*(1+inflation)^2*100/1000+H$9)</f>
        <v>0</v>
      </c>
      <c r="K12" s="95"/>
    </row>
    <row r="13" spans="1:11" ht="16.5" x14ac:dyDescent="0.3">
      <c r="A13" t="e">
        <f>A181</f>
        <v>#REF!</v>
      </c>
      <c r="B13" t="s">
        <v>37</v>
      </c>
      <c r="C13" t="s">
        <v>129</v>
      </c>
      <c r="F13" s="94">
        <f>IF('Input General'!F355=0, F181*100/1000+F$8+F$9, F181*100/1000+F$9)</f>
        <v>0</v>
      </c>
      <c r="G13" s="94">
        <f>IF('Input General'!G355=0, G181*(1+inflation)*100/1000+G$9+G$8, G181*(1+inflation)*100/1000+G$9)</f>
        <v>0</v>
      </c>
      <c r="H13" s="94">
        <f>IF('Input General'!H355=0,H181*(1+inflation)^2*100/1000+H$8+H$9,H181*(1+inflation)^2*100/1000+H$9)</f>
        <v>0</v>
      </c>
    </row>
    <row r="14" spans="1:11" ht="16.5" x14ac:dyDescent="0.3">
      <c r="A14" t="e">
        <f>A182</f>
        <v>#REF!</v>
      </c>
      <c r="B14" t="s">
        <v>37</v>
      </c>
      <c r="C14" t="s">
        <v>129</v>
      </c>
      <c r="F14" s="94">
        <f>IF('Input General'!F355=0, F182*100/1000+F$8+F$9, F182*100/1000+F$9)</f>
        <v>0</v>
      </c>
      <c r="G14" s="94">
        <f>IF('Input General'!G355=0, G182*(1+inflation)*100/1000+G$9+G$8, G182*(1+inflation)*100/1000+G$9)</f>
        <v>0</v>
      </c>
      <c r="H14" s="94">
        <f>IF('Input General'!H355=0,H182*(1+inflation)^2*100/1000+H$8+H$9,H182*(1+inflation)^2*100/1000+H$9)</f>
        <v>0</v>
      </c>
    </row>
    <row r="15" spans="1:11" ht="16.5" x14ac:dyDescent="0.3">
      <c r="A15" t="e">
        <f>A183</f>
        <v>#REF!</v>
      </c>
      <c r="B15" t="s">
        <v>37</v>
      </c>
      <c r="C15" t="s">
        <v>129</v>
      </c>
      <c r="F15" s="94">
        <f>IF('Input General'!F355=0, F183*100/1000+F$8+F$9, F183*100/1000+F$9)</f>
        <v>0</v>
      </c>
      <c r="G15" s="94">
        <f>IF('Input General'!G355=0, G183*(1+inflation)*100/1000+G$9+G$8, G183*(1+inflation)*100/1000+G$9)</f>
        <v>0</v>
      </c>
      <c r="H15" s="94">
        <f>IF('Input General'!H355=0,H183*(1+inflation)^2*100/1000+H$8+H$9,H183*(1+inflation)^2*100/1000+H$9)</f>
        <v>0</v>
      </c>
    </row>
    <row r="17" spans="1:8" x14ac:dyDescent="0.25">
      <c r="A17" s="24" t="str">
        <f>A185</f>
        <v>blank</v>
      </c>
    </row>
    <row r="18" spans="1:8" ht="16.5" x14ac:dyDescent="0.3">
      <c r="A18" t="e">
        <f>A186</f>
        <v>#REF!</v>
      </c>
      <c r="B18" t="s">
        <v>37</v>
      </c>
      <c r="C18" t="s">
        <v>129</v>
      </c>
      <c r="F18" s="94">
        <f>IF('Input General'!$F$366=0, F186*100/1000+F$8+F$9, F186*100/1000+F$9)</f>
        <v>0</v>
      </c>
      <c r="G18" s="94">
        <f>IF('Input General'!G366=0, G186*(1+inflation)*100/1000+G$9+G$8, G186*(1+inflation)*100/1000+G$9)</f>
        <v>0</v>
      </c>
      <c r="H18" s="94">
        <f>IF('Input General'!H366=0,H186*(1+inflation)^2*100/1000+H$8+H$9,H186*(1+inflation)^2*100/1000+H$9)</f>
        <v>0</v>
      </c>
    </row>
    <row r="19" spans="1:8" ht="16.5" x14ac:dyDescent="0.3">
      <c r="A19" t="e">
        <f>A187</f>
        <v>#REF!</v>
      </c>
      <c r="B19" t="s">
        <v>37</v>
      </c>
      <c r="C19" t="s">
        <v>129</v>
      </c>
      <c r="F19" s="94">
        <f>IF('Input General'!$F$366=0, F187*100/1000+F$8+F$9, F187*100/1000+F$9)</f>
        <v>0</v>
      </c>
      <c r="G19" s="94">
        <f>IF('Input General'!G366=0, G187*(1+inflation)*100/1000+G$9+G$8, G187*(1+inflation)*100/1000+G$9)</f>
        <v>0</v>
      </c>
      <c r="H19" s="94">
        <f>IF('Input General'!H366=0,H187*(1+inflation)^2*100/1000+H$8+H$9,H187*(1+inflation)^2*100/1000+H$9)</f>
        <v>0</v>
      </c>
    </row>
    <row r="20" spans="1:8" ht="16.5" x14ac:dyDescent="0.3">
      <c r="A20" t="e">
        <f>A188</f>
        <v>#REF!</v>
      </c>
      <c r="B20" t="s">
        <v>37</v>
      </c>
      <c r="C20" t="s">
        <v>129</v>
      </c>
      <c r="F20" s="94">
        <f>IF('Input General'!$F$366=0, F188*100/1000+F$8+F$9, F188*100/1000+F$9)</f>
        <v>0</v>
      </c>
      <c r="G20" s="94">
        <f>IF('Input General'!G366=0, G188*(1+inflation)*100/1000+G$9+G$8, G188*(1+inflation)*100/1000+G$9)</f>
        <v>0</v>
      </c>
      <c r="H20" s="94">
        <f>IF('Input General'!H366=0,H188*(1+inflation)^2*100/1000+H$8+H$9,H188*(1+inflation)^2*100/1000+H$9)</f>
        <v>0</v>
      </c>
    </row>
    <row r="21" spans="1:8" ht="16.5" x14ac:dyDescent="0.3">
      <c r="A21" t="e">
        <f>A189</f>
        <v>#REF!</v>
      </c>
      <c r="B21" t="s">
        <v>37</v>
      </c>
      <c r="C21" t="s">
        <v>129</v>
      </c>
      <c r="F21" s="94">
        <f>IF('Input General'!$F$366=0, F189*100/1000+F$8+F$9, F189*100/1000+F$9)</f>
        <v>0</v>
      </c>
      <c r="G21" s="94">
        <f>IF('Input General'!G366=0, G189*(1+inflation)*100/1000+G$9+G$8, G189*(1+inflation)*100/1000+G$9)</f>
        <v>0</v>
      </c>
      <c r="H21" s="94">
        <f>IF('Input General'!H366=0,H189*(1+inflation)^2*100/1000+H$8+H$9,H189*(1+inflation)^2*100/1000+H$9)</f>
        <v>0</v>
      </c>
    </row>
    <row r="23" spans="1:8" x14ac:dyDescent="0.25">
      <c r="A23" s="24" t="str">
        <f>A191</f>
        <v>blank</v>
      </c>
    </row>
    <row r="24" spans="1:8" ht="16.5" x14ac:dyDescent="0.3">
      <c r="A24" t="e">
        <f>A192</f>
        <v>#REF!</v>
      </c>
      <c r="B24" t="s">
        <v>37</v>
      </c>
      <c r="C24" t="s">
        <v>129</v>
      </c>
      <c r="F24" s="94">
        <f>IF('Input General'!F377=0, F192*100/1000+F$8+F$9, F192*100/1000+F$9)</f>
        <v>0</v>
      </c>
      <c r="G24" s="94">
        <f>IF('Input General'!G377=0, G192*(1+inflation)*100/1000+G$9+G$8, G192*(1+inflation)*100/1000+G$9)</f>
        <v>0</v>
      </c>
      <c r="H24" s="94">
        <f>IF('Input General'!H377=0,H192*(1+inflation)^2*100/1000+H$8+H$9,H192*(1+inflation)^2*100/1000+H$9)</f>
        <v>0</v>
      </c>
    </row>
    <row r="25" spans="1:8" ht="16.5" x14ac:dyDescent="0.3">
      <c r="A25" t="e">
        <f>A193</f>
        <v>#REF!</v>
      </c>
      <c r="B25" t="s">
        <v>37</v>
      </c>
      <c r="C25" t="s">
        <v>129</v>
      </c>
      <c r="F25" s="94">
        <f>IF('Input General'!F377=0, F193*100/1000+F$8+F$9, F193*100/1000+F$9)</f>
        <v>0</v>
      </c>
      <c r="G25" s="94">
        <f>IF('Input General'!G377=0, G193*(1+inflation)*100/1000+G$9+G$8, G193*(1+inflation)*100/1000+G$9)</f>
        <v>0</v>
      </c>
      <c r="H25" s="94">
        <f>IF('Input General'!H377=0,H193*(1+inflation)^2*100/1000+H$8+H$9,H193*(1+inflation)^2*100/1000+H$9)</f>
        <v>0</v>
      </c>
    </row>
    <row r="26" spans="1:8" ht="16.5" x14ac:dyDescent="0.3">
      <c r="A26" t="e">
        <f>A194</f>
        <v>#REF!</v>
      </c>
      <c r="B26" t="s">
        <v>37</v>
      </c>
      <c r="C26" t="s">
        <v>129</v>
      </c>
      <c r="F26" s="94">
        <f>IF('Input General'!F377=0, F194*100/1000+F$8+F$9, F194*100/1000+F$9)</f>
        <v>0</v>
      </c>
      <c r="G26" s="94">
        <f>IF('Input General'!G377=0, G194*(1+inflation)*100/1000+G$9+G$8, G194*(1+inflation)*100/1000+G$9)</f>
        <v>0</v>
      </c>
      <c r="H26" s="94">
        <f>IF('Input General'!H377=0,H194*(1+inflation)^2*100/1000+H$8+H$9,H194*(1+inflation)^2*100/1000+H$9)</f>
        <v>0</v>
      </c>
    </row>
    <row r="27" spans="1:8" ht="16.5" x14ac:dyDescent="0.3">
      <c r="A27" t="e">
        <f>A195</f>
        <v>#REF!</v>
      </c>
      <c r="B27" t="s">
        <v>37</v>
      </c>
      <c r="C27" t="s">
        <v>129</v>
      </c>
      <c r="F27" s="94">
        <f>IF('Input General'!F377=0, F195*100/1000+F$8+F$9, F195*100/1000+F$9)</f>
        <v>0</v>
      </c>
      <c r="G27" s="94">
        <f>IF('Input General'!G377=0, G195*(1+inflation)*100/1000+G$9+G$8, G195*(1+inflation)*100/1000+G$9)</f>
        <v>0</v>
      </c>
      <c r="H27" s="94">
        <f>IF('Input General'!H377=0,H195*(1+inflation)^2*100/1000+H$8+H$9,H195*(1+inflation)^2*100/1000+H$9)</f>
        <v>0</v>
      </c>
    </row>
    <row r="29" spans="1:8" x14ac:dyDescent="0.25">
      <c r="A29" s="24" t="str">
        <f>A197</f>
        <v>blank</v>
      </c>
    </row>
    <row r="30" spans="1:8" ht="16.5" x14ac:dyDescent="0.3">
      <c r="A30" t="e">
        <f>A198</f>
        <v>#REF!</v>
      </c>
      <c r="B30" t="s">
        <v>37</v>
      </c>
      <c r="C30" t="s">
        <v>129</v>
      </c>
      <c r="F30" s="94">
        <f>IF('Input General'!F388=0, F198*100/1000+F$8+F$9, F198*100/1000+F$9)</f>
        <v>0</v>
      </c>
      <c r="G30" s="94">
        <f>IF('Input General'!G388=0, G198*(1+inflation)*100/1000+G$9+G$8, G198*(1+inflation)*100/1000+G$9)</f>
        <v>0</v>
      </c>
      <c r="H30" s="94">
        <f>IF('Input General'!H388=0,H198*(1+inflation)^2*100/1000+H$8+H$9,H198*(1+inflation)^2*100/1000+H$9)</f>
        <v>0</v>
      </c>
    </row>
    <row r="31" spans="1:8" ht="16.5" x14ac:dyDescent="0.3">
      <c r="A31" t="e">
        <f>A199</f>
        <v>#REF!</v>
      </c>
      <c r="B31" t="s">
        <v>37</v>
      </c>
      <c r="C31" t="s">
        <v>129</v>
      </c>
      <c r="F31" s="94">
        <f>IF('Input General'!F388=0, F199*100/1000+F$8+F$9, F199*100/1000+F$9)</f>
        <v>0</v>
      </c>
      <c r="G31" s="94">
        <f>IF('Input General'!G388=0, G199*(1+inflation)*100/1000+G$9+G$8, G199*(1+inflation)*100/1000+G$9)</f>
        <v>0</v>
      </c>
      <c r="H31" s="94">
        <f>IF('Input General'!H388=0,H199*(1+inflation)^2*100/1000+H$8+H$9,H199*(1+inflation)^2*100/1000+H$9)</f>
        <v>0</v>
      </c>
    </row>
    <row r="32" spans="1:8" ht="16.5" x14ac:dyDescent="0.3">
      <c r="A32" t="e">
        <f>A200</f>
        <v>#REF!</v>
      </c>
      <c r="B32" t="s">
        <v>37</v>
      </c>
      <c r="C32" t="s">
        <v>129</v>
      </c>
      <c r="F32" s="94">
        <f>IF('Input General'!F388=0, F200*100/1000+F$8+F$9, F200*100/1000+F$9)</f>
        <v>0</v>
      </c>
      <c r="G32" s="94">
        <f>IF('Input General'!G388=0, G200*(1+inflation)*100/1000+G$9+G$8, G200*(1+inflation)*100/1000+G$9)</f>
        <v>0</v>
      </c>
      <c r="H32" s="94">
        <f>IF('Input General'!H388=0,H200*(1+inflation)^2*100/1000+H$8+H$9,H200*(1+inflation)^2*100/1000+H$9)</f>
        <v>0</v>
      </c>
    </row>
    <row r="33" spans="1:8" ht="16.5" x14ac:dyDescent="0.3">
      <c r="A33" t="e">
        <f>A201</f>
        <v>#REF!</v>
      </c>
      <c r="B33" t="s">
        <v>37</v>
      </c>
      <c r="C33" t="s">
        <v>129</v>
      </c>
      <c r="F33" s="94">
        <f>IF('Input General'!F388=0, F201*100/1000+F$8+F$9, F201*100/1000+F$9)</f>
        <v>0</v>
      </c>
      <c r="G33" s="94">
        <f>IF('Input General'!G388=0, G201*(1+inflation)*100/1000+G$9+G$8, G201*(1+inflation)*100/1000+G$9)</f>
        <v>0</v>
      </c>
      <c r="H33" s="94">
        <f>IF('Input General'!H388=0,H201*(1+inflation)^2*100/1000+H$8+H$9,H201*(1+inflation)^2*100/1000+H$9)</f>
        <v>0</v>
      </c>
    </row>
    <row r="35" spans="1:8" x14ac:dyDescent="0.25">
      <c r="A35" s="24" t="str">
        <f>A203</f>
        <v>blank</v>
      </c>
    </row>
    <row r="36" spans="1:8" ht="16.5" x14ac:dyDescent="0.3">
      <c r="A36" t="e">
        <f>A204</f>
        <v>#REF!</v>
      </c>
      <c r="B36" t="s">
        <v>37</v>
      </c>
      <c r="C36" t="s">
        <v>129</v>
      </c>
      <c r="F36" s="94">
        <f>IF('Input General'!F399=0, F204*100/1000+F$8+F$9, F204*100/1000+F$9)</f>
        <v>0</v>
      </c>
      <c r="G36" s="94">
        <f>IF('Input General'!G399=0, G204*(1+inflation)*100/1000+G$9+G$8, G204*(1+inflation)*100/1000+G$9)</f>
        <v>0</v>
      </c>
      <c r="H36" s="94">
        <f>IF('Input General'!H399=0,H204*(1+inflation)^2*100/1000+H$8+H$9,H204*(1+inflation)^2*100/1000+H$9)</f>
        <v>0</v>
      </c>
    </row>
    <row r="37" spans="1:8" ht="16.5" x14ac:dyDescent="0.3">
      <c r="A37" t="e">
        <f>A205</f>
        <v>#REF!</v>
      </c>
      <c r="B37" t="s">
        <v>37</v>
      </c>
      <c r="C37" t="s">
        <v>129</v>
      </c>
      <c r="F37" s="94">
        <f>IF('Input General'!F399=0, F205*100/1000+F$8+F$9, F205*100/1000+F$9)</f>
        <v>0</v>
      </c>
      <c r="G37" s="94">
        <f>IF('Input General'!G399=0, G205*(1+inflation)*100/1000+G$9+G$8, G205*(1+inflation)*100/1000+G$9)</f>
        <v>0</v>
      </c>
      <c r="H37" s="94">
        <f>IF('Input General'!H399=0,H205*(1+inflation)^2*100/1000+H$8+H$9,H205*(1+inflation)^2*100/1000+H$9)</f>
        <v>0</v>
      </c>
    </row>
    <row r="38" spans="1:8" ht="16.5" x14ac:dyDescent="0.3">
      <c r="A38" t="e">
        <f>A206</f>
        <v>#REF!</v>
      </c>
      <c r="B38" t="s">
        <v>37</v>
      </c>
      <c r="C38" t="s">
        <v>129</v>
      </c>
      <c r="F38" s="94">
        <f>IF('Input General'!F399=0, F206*100/1000+F$8+F$9, F206*100/1000+F$9)</f>
        <v>0</v>
      </c>
      <c r="G38" s="94">
        <f>IF('Input General'!G399=0, G206*(1+inflation)*100/1000+G$9+G$8, G206*(1+inflation)*100/1000+G$9)</f>
        <v>0</v>
      </c>
      <c r="H38" s="94">
        <f>IF('Input General'!H399=0,H206*(1+inflation)^2*100/1000+H$8+H$9,H206*(1+inflation)^2*100/1000+H$9)</f>
        <v>0</v>
      </c>
    </row>
    <row r="39" spans="1:8" ht="16.5" x14ac:dyDescent="0.3">
      <c r="A39" t="e">
        <f>A207</f>
        <v>#REF!</v>
      </c>
      <c r="B39" t="s">
        <v>37</v>
      </c>
      <c r="C39" t="s">
        <v>129</v>
      </c>
      <c r="F39" s="94">
        <f>IF('Input General'!F399=0, F207*100/1000+F$8+F$9, F207*100/1000+F$9)</f>
        <v>0</v>
      </c>
      <c r="G39" s="94">
        <f>IF('Input General'!G399=0, G207*(1+inflation)*100/1000+G$9+G$8, G207*(1+inflation)*100/1000+G$9)</f>
        <v>0</v>
      </c>
      <c r="H39" s="94">
        <f>IF('Input General'!H399=0,H207*(1+inflation)^2*100/1000+H$8+H$9,H207*(1+inflation)^2*100/1000+H$9)</f>
        <v>0</v>
      </c>
    </row>
    <row r="41" spans="1:8" x14ac:dyDescent="0.25">
      <c r="A41" s="1" t="str">
        <f>A209</f>
        <v>Carbon costs</v>
      </c>
    </row>
    <row r="43" spans="1:8" x14ac:dyDescent="0.25">
      <c r="A43" s="24" t="str">
        <f>A210</f>
        <v>Northern Territory</v>
      </c>
    </row>
    <row r="44" spans="1:8" ht="16.5" x14ac:dyDescent="0.3">
      <c r="A44" t="e">
        <f>A211</f>
        <v>#REF!</v>
      </c>
      <c r="B44" t="s">
        <v>37</v>
      </c>
      <c r="C44" t="s">
        <v>129</v>
      </c>
      <c r="F44" s="94">
        <f>F211*100/1000</f>
        <v>0</v>
      </c>
      <c r="G44" s="94">
        <f>G211*(1+inflation)*100/1000</f>
        <v>0</v>
      </c>
      <c r="H44" s="94">
        <f>H211*(1+inflation)^2*100/1000</f>
        <v>0</v>
      </c>
    </row>
    <row r="45" spans="1:8" ht="16.5" x14ac:dyDescent="0.3">
      <c r="A45" t="e">
        <f>A212</f>
        <v>#REF!</v>
      </c>
      <c r="B45" t="s">
        <v>37</v>
      </c>
      <c r="C45" t="s">
        <v>129</v>
      </c>
      <c r="F45" s="94">
        <f t="shared" ref="F45:F47" si="0">F212*100/1000</f>
        <v>0</v>
      </c>
      <c r="G45" s="94">
        <f>G212*(1+inflation)*100/1000</f>
        <v>0</v>
      </c>
      <c r="H45" s="94">
        <f>H212*(1+inflation)^2*100/1000</f>
        <v>0</v>
      </c>
    </row>
    <row r="46" spans="1:8" ht="16.5" x14ac:dyDescent="0.3">
      <c r="A46" t="e">
        <f>A213</f>
        <v>#REF!</v>
      </c>
      <c r="B46" t="s">
        <v>37</v>
      </c>
      <c r="C46" t="s">
        <v>129</v>
      </c>
      <c r="F46" s="94">
        <f t="shared" si="0"/>
        <v>0</v>
      </c>
      <c r="G46" s="94">
        <f>G213*(1+inflation)*100/1000</f>
        <v>0</v>
      </c>
      <c r="H46" s="94">
        <f>H213*(1+inflation)^2*100/1000</f>
        <v>0</v>
      </c>
    </row>
    <row r="47" spans="1:8" ht="16.5" x14ac:dyDescent="0.3">
      <c r="A47" t="e">
        <f>A214</f>
        <v>#REF!</v>
      </c>
      <c r="B47" t="s">
        <v>37</v>
      </c>
      <c r="C47" t="s">
        <v>129</v>
      </c>
      <c r="F47" s="94">
        <f t="shared" si="0"/>
        <v>0</v>
      </c>
      <c r="G47" s="94">
        <f>G214*(1+inflation)*100/1000</f>
        <v>0</v>
      </c>
      <c r="H47" s="94">
        <f>H214*(1+inflation)^2*100/1000</f>
        <v>0</v>
      </c>
    </row>
    <row r="49" spans="1:8" x14ac:dyDescent="0.25">
      <c r="A49" s="24" t="str">
        <f>A216</f>
        <v>blank</v>
      </c>
    </row>
    <row r="50" spans="1:8" ht="16.5" x14ac:dyDescent="0.3">
      <c r="A50" t="e">
        <f>A217</f>
        <v>#REF!</v>
      </c>
      <c r="B50" t="s">
        <v>37</v>
      </c>
      <c r="C50" t="s">
        <v>129</v>
      </c>
      <c r="F50" s="94">
        <f>F217*100/1000</f>
        <v>0</v>
      </c>
      <c r="G50" s="94">
        <f>G217*(1+inflation)*100/1000</f>
        <v>0</v>
      </c>
      <c r="H50" s="94">
        <f>H217*(1+inflation)^2*100/1000</f>
        <v>0</v>
      </c>
    </row>
    <row r="51" spans="1:8" ht="16.5" x14ac:dyDescent="0.3">
      <c r="A51" t="e">
        <f>A218</f>
        <v>#REF!</v>
      </c>
      <c r="B51" t="s">
        <v>37</v>
      </c>
      <c r="C51" t="s">
        <v>129</v>
      </c>
      <c r="F51" s="94">
        <f t="shared" ref="F51:F53" si="1">F218*100/1000</f>
        <v>0</v>
      </c>
      <c r="G51" s="94">
        <f>G218*(1+inflation)*100/1000</f>
        <v>0</v>
      </c>
      <c r="H51" s="94">
        <f>H218*(1+inflation)^2*100/1000</f>
        <v>0</v>
      </c>
    </row>
    <row r="52" spans="1:8" ht="16.5" x14ac:dyDescent="0.3">
      <c r="A52" t="e">
        <f>A219</f>
        <v>#REF!</v>
      </c>
      <c r="B52" t="s">
        <v>37</v>
      </c>
      <c r="C52" t="s">
        <v>129</v>
      </c>
      <c r="F52" s="94">
        <f t="shared" si="1"/>
        <v>0</v>
      </c>
      <c r="G52" s="94">
        <f>G219*(1+inflation)*100/1000</f>
        <v>0</v>
      </c>
      <c r="H52" s="94">
        <f>H219*(1+inflation)^2*100/1000</f>
        <v>0</v>
      </c>
    </row>
    <row r="53" spans="1:8" ht="16.5" x14ac:dyDescent="0.3">
      <c r="A53" t="e">
        <f>A220</f>
        <v>#REF!</v>
      </c>
      <c r="B53" t="s">
        <v>37</v>
      </c>
      <c r="C53" t="s">
        <v>129</v>
      </c>
      <c r="F53" s="94">
        <f t="shared" si="1"/>
        <v>0</v>
      </c>
      <c r="G53" s="94">
        <f>G220*(1+inflation)*100/1000</f>
        <v>0</v>
      </c>
      <c r="H53" s="94">
        <f>H220*(1+inflation)^2*100/1000</f>
        <v>0</v>
      </c>
    </row>
    <row r="55" spans="1:8" x14ac:dyDescent="0.25">
      <c r="A55" s="24" t="str">
        <f>A222</f>
        <v>blank</v>
      </c>
    </row>
    <row r="56" spans="1:8" ht="16.5" x14ac:dyDescent="0.3">
      <c r="A56" t="e">
        <f>A223</f>
        <v>#REF!</v>
      </c>
      <c r="B56" t="s">
        <v>37</v>
      </c>
      <c r="C56" t="s">
        <v>129</v>
      </c>
      <c r="F56" s="94">
        <f>F223*100/1000</f>
        <v>0</v>
      </c>
      <c r="G56" s="94">
        <f>G223*(1+inflation)*100/1000</f>
        <v>0</v>
      </c>
      <c r="H56" s="94">
        <f>H223*(1+inflation)^2*100/1000</f>
        <v>0</v>
      </c>
    </row>
    <row r="57" spans="1:8" ht="16.5" x14ac:dyDescent="0.3">
      <c r="A57" t="e">
        <f>A224</f>
        <v>#REF!</v>
      </c>
      <c r="B57" t="s">
        <v>37</v>
      </c>
      <c r="C57" t="s">
        <v>129</v>
      </c>
      <c r="F57" s="94">
        <f t="shared" ref="F57:F59" si="2">F224*100/1000</f>
        <v>0</v>
      </c>
      <c r="G57" s="94">
        <f>G224*(1+inflation)*100/1000</f>
        <v>0</v>
      </c>
      <c r="H57" s="94">
        <f>H224*(1+inflation)^2*100/1000</f>
        <v>0</v>
      </c>
    </row>
    <row r="58" spans="1:8" ht="16.5" x14ac:dyDescent="0.3">
      <c r="A58" t="e">
        <f>A225</f>
        <v>#REF!</v>
      </c>
      <c r="B58" t="s">
        <v>37</v>
      </c>
      <c r="C58" t="s">
        <v>129</v>
      </c>
      <c r="F58" s="94">
        <f t="shared" si="2"/>
        <v>0</v>
      </c>
      <c r="G58" s="94">
        <f>G225*(1+inflation)*100/1000</f>
        <v>0</v>
      </c>
      <c r="H58" s="94">
        <f>H225*(1+inflation)^2*100/1000</f>
        <v>0</v>
      </c>
    </row>
    <row r="59" spans="1:8" ht="16.5" x14ac:dyDescent="0.3">
      <c r="A59" t="e">
        <f>A226</f>
        <v>#REF!</v>
      </c>
      <c r="B59" t="s">
        <v>37</v>
      </c>
      <c r="C59" t="s">
        <v>129</v>
      </c>
      <c r="F59" s="94">
        <f t="shared" si="2"/>
        <v>0</v>
      </c>
      <c r="G59" s="94">
        <f>G226*(1+inflation)*100/1000</f>
        <v>0</v>
      </c>
      <c r="H59" s="94">
        <f>H226*(1+inflation)^2*100/1000</f>
        <v>0</v>
      </c>
    </row>
    <row r="61" spans="1:8" x14ac:dyDescent="0.25">
      <c r="A61" s="24" t="str">
        <f>A228</f>
        <v>blank</v>
      </c>
    </row>
    <row r="62" spans="1:8" ht="16.5" x14ac:dyDescent="0.3">
      <c r="A62" t="e">
        <f>A229</f>
        <v>#REF!</v>
      </c>
      <c r="B62" t="s">
        <v>37</v>
      </c>
      <c r="C62" t="s">
        <v>129</v>
      </c>
      <c r="F62" s="94">
        <f>F229*100/1000</f>
        <v>0</v>
      </c>
      <c r="G62" s="94">
        <f>G229*(1+inflation)*100/1000</f>
        <v>0</v>
      </c>
      <c r="H62" s="94">
        <f>H229*(1+inflation)^2*100/1000</f>
        <v>0</v>
      </c>
    </row>
    <row r="63" spans="1:8" ht="16.5" x14ac:dyDescent="0.3">
      <c r="A63" t="e">
        <f>A230</f>
        <v>#REF!</v>
      </c>
      <c r="B63" t="s">
        <v>37</v>
      </c>
      <c r="C63" t="s">
        <v>129</v>
      </c>
      <c r="F63" s="94">
        <f t="shared" ref="F63:F65" si="3">F230*100/1000</f>
        <v>0</v>
      </c>
      <c r="G63" s="94">
        <f>G230*(1+inflation)*100/1000</f>
        <v>0</v>
      </c>
      <c r="H63" s="94">
        <f>H230*(1+inflation)^2*100/1000</f>
        <v>0</v>
      </c>
    </row>
    <row r="64" spans="1:8" ht="16.5" x14ac:dyDescent="0.3">
      <c r="A64" t="e">
        <f>A231</f>
        <v>#REF!</v>
      </c>
      <c r="B64" t="s">
        <v>37</v>
      </c>
      <c r="C64" t="s">
        <v>129</v>
      </c>
      <c r="F64" s="94">
        <f t="shared" si="3"/>
        <v>0</v>
      </c>
      <c r="G64" s="94">
        <f>G231*(1+inflation)*100/1000</f>
        <v>0</v>
      </c>
      <c r="H64" s="94">
        <f>H231*(1+inflation)^2*100/1000</f>
        <v>0</v>
      </c>
    </row>
    <row r="65" spans="1:8" ht="16.5" x14ac:dyDescent="0.3">
      <c r="A65" t="e">
        <f>A232</f>
        <v>#REF!</v>
      </c>
      <c r="B65" t="s">
        <v>37</v>
      </c>
      <c r="C65" t="s">
        <v>129</v>
      </c>
      <c r="F65" s="94">
        <f t="shared" si="3"/>
        <v>0</v>
      </c>
      <c r="G65" s="94">
        <f>G232*(1+inflation)*100/1000</f>
        <v>0</v>
      </c>
      <c r="H65" s="94">
        <f>H232*(1+inflation)^2*100/1000</f>
        <v>0</v>
      </c>
    </row>
    <row r="67" spans="1:8" x14ac:dyDescent="0.25">
      <c r="A67" s="24" t="str">
        <f>A234</f>
        <v>blank</v>
      </c>
    </row>
    <row r="68" spans="1:8" ht="16.5" x14ac:dyDescent="0.3">
      <c r="A68" t="e">
        <f>A235</f>
        <v>#REF!</v>
      </c>
      <c r="B68" t="s">
        <v>37</v>
      </c>
      <c r="C68" t="s">
        <v>129</v>
      </c>
      <c r="F68" s="94">
        <f>F235*100/1000</f>
        <v>0</v>
      </c>
      <c r="G68" s="94">
        <f>G235*(1+inflation)*100/1000</f>
        <v>0</v>
      </c>
      <c r="H68" s="94">
        <f>H235*(1+inflation)^2*100/1000</f>
        <v>0</v>
      </c>
    </row>
    <row r="69" spans="1:8" ht="16.5" x14ac:dyDescent="0.3">
      <c r="A69" t="e">
        <f>A236</f>
        <v>#REF!</v>
      </c>
      <c r="B69" t="s">
        <v>37</v>
      </c>
      <c r="C69" t="s">
        <v>129</v>
      </c>
      <c r="F69" s="94">
        <f t="shared" ref="F69:F71" si="4">F236*100/1000</f>
        <v>0</v>
      </c>
      <c r="G69" s="94">
        <f>G236*(1+inflation)*100/1000</f>
        <v>0</v>
      </c>
      <c r="H69" s="94">
        <f>H236*(1+inflation)^2*100/1000</f>
        <v>0</v>
      </c>
    </row>
    <row r="70" spans="1:8" ht="16.5" x14ac:dyDescent="0.3">
      <c r="A70" t="e">
        <f>A237</f>
        <v>#REF!</v>
      </c>
      <c r="B70" t="s">
        <v>37</v>
      </c>
      <c r="C70" t="s">
        <v>129</v>
      </c>
      <c r="F70" s="94">
        <f t="shared" si="4"/>
        <v>0</v>
      </c>
      <c r="G70" s="94">
        <f>G237*(1+inflation)*100/1000</f>
        <v>0</v>
      </c>
      <c r="H70" s="94">
        <f>H237*(1+inflation)^2*100/1000</f>
        <v>0</v>
      </c>
    </row>
    <row r="71" spans="1:8" ht="16.5" x14ac:dyDescent="0.3">
      <c r="A71" t="e">
        <f>A238</f>
        <v>#REF!</v>
      </c>
      <c r="B71" t="s">
        <v>37</v>
      </c>
      <c r="C71" t="s">
        <v>129</v>
      </c>
      <c r="F71" s="94">
        <f t="shared" si="4"/>
        <v>0</v>
      </c>
      <c r="G71" s="94">
        <f>G238*(1+inflation)*100/1000</f>
        <v>0</v>
      </c>
      <c r="H71" s="94">
        <f>H238*(1+inflation)^2*100/1000</f>
        <v>0</v>
      </c>
    </row>
    <row r="73" spans="1:8" x14ac:dyDescent="0.25">
      <c r="A73" s="1" t="str">
        <f t="shared" ref="A73:A78" si="5">A240</f>
        <v>LRET</v>
      </c>
    </row>
    <row r="74" spans="1:8" x14ac:dyDescent="0.25">
      <c r="A74" s="24" t="str">
        <f t="shared" si="5"/>
        <v>Northern Territory</v>
      </c>
    </row>
    <row r="75" spans="1:8" ht="16.5" x14ac:dyDescent="0.3">
      <c r="A75" t="e">
        <f t="shared" si="5"/>
        <v>#REF!</v>
      </c>
      <c r="B75" t="s">
        <v>37</v>
      </c>
      <c r="C75" t="s">
        <v>129</v>
      </c>
      <c r="F75" s="94">
        <f>F242*100/1000</f>
        <v>0</v>
      </c>
      <c r="G75" s="94">
        <f>G242*(1+inflation)*100/1000</f>
        <v>0</v>
      </c>
      <c r="H75" s="94">
        <f>H242*(1+inflation)^2*100/1000</f>
        <v>0</v>
      </c>
    </row>
    <row r="76" spans="1:8" ht="16.5" x14ac:dyDescent="0.3">
      <c r="A76" t="e">
        <f t="shared" si="5"/>
        <v>#REF!</v>
      </c>
      <c r="B76" t="s">
        <v>37</v>
      </c>
      <c r="C76" t="s">
        <v>129</v>
      </c>
      <c r="F76" s="94">
        <f t="shared" ref="F76:F78" si="6">F243*100/1000</f>
        <v>0</v>
      </c>
      <c r="G76" s="94">
        <f>G243*(1+inflation)*100/1000</f>
        <v>0</v>
      </c>
      <c r="H76" s="94">
        <f>H243*(1+inflation)^2*100/1000</f>
        <v>0</v>
      </c>
    </row>
    <row r="77" spans="1:8" ht="16.5" x14ac:dyDescent="0.3">
      <c r="A77" t="e">
        <f t="shared" si="5"/>
        <v>#REF!</v>
      </c>
      <c r="B77" t="s">
        <v>37</v>
      </c>
      <c r="C77" t="s">
        <v>129</v>
      </c>
      <c r="F77" s="94">
        <f t="shared" si="6"/>
        <v>0</v>
      </c>
      <c r="G77" s="94">
        <f>G244*(1+inflation)*100/1000</f>
        <v>0</v>
      </c>
      <c r="H77" s="94">
        <f>H244*(1+inflation)^2*100/1000</f>
        <v>0</v>
      </c>
    </row>
    <row r="78" spans="1:8" ht="16.5" x14ac:dyDescent="0.3">
      <c r="A78" t="e">
        <f t="shared" si="5"/>
        <v>#REF!</v>
      </c>
      <c r="B78" t="s">
        <v>37</v>
      </c>
      <c r="C78" t="s">
        <v>129</v>
      </c>
      <c r="F78" s="94">
        <f t="shared" si="6"/>
        <v>0</v>
      </c>
      <c r="G78" s="94">
        <f>G245*(1+inflation)*100/1000</f>
        <v>0</v>
      </c>
      <c r="H78" s="94">
        <f>H245*(1+inflation)^2*100/1000</f>
        <v>0</v>
      </c>
    </row>
    <row r="80" spans="1:8" x14ac:dyDescent="0.25">
      <c r="A80" s="24" t="str">
        <f>A247</f>
        <v>blank</v>
      </c>
    </row>
    <row r="81" spans="1:8" ht="16.5" x14ac:dyDescent="0.3">
      <c r="A81" t="e">
        <f>A248</f>
        <v>#REF!</v>
      </c>
      <c r="B81" t="s">
        <v>37</v>
      </c>
      <c r="C81" t="s">
        <v>129</v>
      </c>
      <c r="F81" s="94">
        <f>F248*100/1000</f>
        <v>0</v>
      </c>
      <c r="G81" s="94">
        <f>G248*(1+inflation)*100/1000</f>
        <v>0</v>
      </c>
      <c r="H81" s="94">
        <f>H248*(1+inflation)^2*100/1000</f>
        <v>0</v>
      </c>
    </row>
    <row r="82" spans="1:8" ht="16.5" x14ac:dyDescent="0.3">
      <c r="A82" t="e">
        <f>A249</f>
        <v>#REF!</v>
      </c>
      <c r="B82" t="s">
        <v>37</v>
      </c>
      <c r="C82" t="s">
        <v>129</v>
      </c>
      <c r="F82" s="94">
        <f t="shared" ref="F82:F84" si="7">F249*100/1000</f>
        <v>0</v>
      </c>
      <c r="G82" s="94">
        <f>G249*(1+inflation)*100/1000</f>
        <v>0</v>
      </c>
      <c r="H82" s="94">
        <f>H249*(1+inflation)^2*100/1000</f>
        <v>0</v>
      </c>
    </row>
    <row r="83" spans="1:8" ht="16.5" x14ac:dyDescent="0.3">
      <c r="A83" t="e">
        <f>A250</f>
        <v>#REF!</v>
      </c>
      <c r="B83" t="s">
        <v>37</v>
      </c>
      <c r="C83" t="s">
        <v>129</v>
      </c>
      <c r="F83" s="94">
        <f t="shared" si="7"/>
        <v>0</v>
      </c>
      <c r="G83" s="94">
        <f>G250*(1+inflation)*100/1000</f>
        <v>0</v>
      </c>
      <c r="H83" s="94">
        <f>H250*(1+inflation)^2*100/1000</f>
        <v>0</v>
      </c>
    </row>
    <row r="84" spans="1:8" ht="16.5" x14ac:dyDescent="0.3">
      <c r="A84" t="e">
        <f>A251</f>
        <v>#REF!</v>
      </c>
      <c r="B84" t="s">
        <v>37</v>
      </c>
      <c r="C84" t="s">
        <v>129</v>
      </c>
      <c r="F84" s="94">
        <f t="shared" si="7"/>
        <v>0</v>
      </c>
      <c r="G84" s="94">
        <f>G251*(1+inflation)*100/1000</f>
        <v>0</v>
      </c>
      <c r="H84" s="94">
        <f>H251*(1+inflation)^2*100/1000</f>
        <v>0</v>
      </c>
    </row>
    <row r="86" spans="1:8" x14ac:dyDescent="0.25">
      <c r="A86" s="24" t="str">
        <f>A253</f>
        <v>blank</v>
      </c>
    </row>
    <row r="87" spans="1:8" ht="16.5" x14ac:dyDescent="0.3">
      <c r="A87" t="e">
        <f>A254</f>
        <v>#REF!</v>
      </c>
      <c r="B87" t="s">
        <v>37</v>
      </c>
      <c r="C87" t="s">
        <v>129</v>
      </c>
      <c r="F87" s="94">
        <f>F254*100/1000</f>
        <v>0</v>
      </c>
      <c r="G87" s="94">
        <f>G254*(1+inflation)*100/1000</f>
        <v>0</v>
      </c>
      <c r="H87" s="94">
        <f>H254*(1+inflation)^2*100/1000</f>
        <v>0</v>
      </c>
    </row>
    <row r="88" spans="1:8" ht="16.5" x14ac:dyDescent="0.3">
      <c r="A88" t="e">
        <f>A255</f>
        <v>#REF!</v>
      </c>
      <c r="B88" t="s">
        <v>37</v>
      </c>
      <c r="C88" t="s">
        <v>129</v>
      </c>
      <c r="F88" s="94">
        <f t="shared" ref="F88:F90" si="8">F255*100/1000</f>
        <v>0</v>
      </c>
      <c r="G88" s="94">
        <f>G255*(1+inflation)*100/1000</f>
        <v>0</v>
      </c>
      <c r="H88" s="94">
        <f>H255*(1+inflation)^2*100/1000</f>
        <v>0</v>
      </c>
    </row>
    <row r="89" spans="1:8" ht="16.5" x14ac:dyDescent="0.3">
      <c r="A89" t="e">
        <f>A256</f>
        <v>#REF!</v>
      </c>
      <c r="B89" t="s">
        <v>37</v>
      </c>
      <c r="C89" t="s">
        <v>129</v>
      </c>
      <c r="F89" s="94">
        <f t="shared" si="8"/>
        <v>0</v>
      </c>
      <c r="G89" s="94">
        <f>G256*(1+inflation)*100/1000</f>
        <v>0</v>
      </c>
      <c r="H89" s="94">
        <f>H256*(1+inflation)^2*100/1000</f>
        <v>0</v>
      </c>
    </row>
    <row r="90" spans="1:8" ht="16.5" x14ac:dyDescent="0.3">
      <c r="A90" t="e">
        <f>A257</f>
        <v>#REF!</v>
      </c>
      <c r="B90" t="s">
        <v>37</v>
      </c>
      <c r="C90" t="s">
        <v>129</v>
      </c>
      <c r="F90" s="94">
        <f t="shared" si="8"/>
        <v>0</v>
      </c>
      <c r="G90" s="94">
        <f>G257*(1+inflation)*100/1000</f>
        <v>0</v>
      </c>
      <c r="H90" s="94">
        <f>H257*(1+inflation)^2*100/1000</f>
        <v>0</v>
      </c>
    </row>
    <row r="92" spans="1:8" x14ac:dyDescent="0.25">
      <c r="A92" s="24" t="str">
        <f>A259</f>
        <v>blank</v>
      </c>
    </row>
    <row r="93" spans="1:8" ht="16.5" x14ac:dyDescent="0.3">
      <c r="A93" t="e">
        <f>A260</f>
        <v>#REF!</v>
      </c>
      <c r="B93" t="s">
        <v>37</v>
      </c>
      <c r="C93" t="s">
        <v>129</v>
      </c>
      <c r="F93" s="94">
        <f>F260*100/1000</f>
        <v>0</v>
      </c>
      <c r="G93" s="94">
        <f>G260*(1+inflation)*100/1000</f>
        <v>0</v>
      </c>
      <c r="H93" s="94">
        <f>H260*(1+inflation)^2*100/1000</f>
        <v>0</v>
      </c>
    </row>
    <row r="94" spans="1:8" ht="16.5" x14ac:dyDescent="0.3">
      <c r="A94" t="e">
        <f>A261</f>
        <v>#REF!</v>
      </c>
      <c r="B94" t="s">
        <v>37</v>
      </c>
      <c r="C94" t="s">
        <v>129</v>
      </c>
      <c r="F94" s="94">
        <f t="shared" ref="F94:F96" si="9">F261*100/1000</f>
        <v>0</v>
      </c>
      <c r="G94" s="94">
        <f>G261*(1+inflation)*100/1000</f>
        <v>0</v>
      </c>
      <c r="H94" s="94">
        <f>H261*(1+inflation)^2*100/1000</f>
        <v>0</v>
      </c>
    </row>
    <row r="95" spans="1:8" ht="16.5" x14ac:dyDescent="0.3">
      <c r="A95" t="e">
        <f>A262</f>
        <v>#REF!</v>
      </c>
      <c r="B95" t="s">
        <v>37</v>
      </c>
      <c r="C95" t="s">
        <v>129</v>
      </c>
      <c r="F95" s="94">
        <f t="shared" si="9"/>
        <v>0</v>
      </c>
      <c r="G95" s="94">
        <f>G262*(1+inflation)*100/1000</f>
        <v>0</v>
      </c>
      <c r="H95" s="94">
        <f>H262*(1+inflation)^2*100/1000</f>
        <v>0</v>
      </c>
    </row>
    <row r="96" spans="1:8" ht="16.5" x14ac:dyDescent="0.3">
      <c r="A96" t="e">
        <f>A263</f>
        <v>#REF!</v>
      </c>
      <c r="B96" t="s">
        <v>37</v>
      </c>
      <c r="C96" t="s">
        <v>129</v>
      </c>
      <c r="F96" s="94">
        <f t="shared" si="9"/>
        <v>0</v>
      </c>
      <c r="G96" s="94">
        <f>G263*(1+inflation)*100/1000</f>
        <v>0</v>
      </c>
      <c r="H96" s="94">
        <f>H263*(1+inflation)^2*100/1000</f>
        <v>0</v>
      </c>
    </row>
    <row r="98" spans="1:8" x14ac:dyDescent="0.25">
      <c r="A98" s="24" t="str">
        <f>A265</f>
        <v>blank</v>
      </c>
    </row>
    <row r="99" spans="1:8" ht="16.5" x14ac:dyDescent="0.3">
      <c r="A99" t="e">
        <f>A266</f>
        <v>#REF!</v>
      </c>
      <c r="B99" t="s">
        <v>37</v>
      </c>
      <c r="C99" t="s">
        <v>129</v>
      </c>
      <c r="F99" s="94">
        <f>F266*100/1000</f>
        <v>0</v>
      </c>
      <c r="G99" s="94">
        <f>G266*(1+inflation)*100/1000</f>
        <v>0</v>
      </c>
      <c r="H99" s="94">
        <f>H266*(1+inflation)^2*100/1000</f>
        <v>0</v>
      </c>
    </row>
    <row r="100" spans="1:8" ht="16.5" x14ac:dyDescent="0.3">
      <c r="A100" t="e">
        <f>A267</f>
        <v>#REF!</v>
      </c>
      <c r="B100" t="s">
        <v>37</v>
      </c>
      <c r="C100" t="s">
        <v>129</v>
      </c>
      <c r="F100" s="94">
        <f t="shared" ref="F100:F102" si="10">F267*100/1000</f>
        <v>0</v>
      </c>
      <c r="G100" s="94">
        <f>G267*(1+inflation)*100/1000</f>
        <v>0</v>
      </c>
      <c r="H100" s="94">
        <f>H267*(1+inflation)^2*100/1000</f>
        <v>0</v>
      </c>
    </row>
    <row r="101" spans="1:8" ht="16.5" x14ac:dyDescent="0.3">
      <c r="A101" t="e">
        <f>A268</f>
        <v>#REF!</v>
      </c>
      <c r="B101" t="s">
        <v>37</v>
      </c>
      <c r="C101" t="s">
        <v>129</v>
      </c>
      <c r="F101" s="94">
        <f t="shared" si="10"/>
        <v>0</v>
      </c>
      <c r="G101" s="94">
        <f>G268*(1+inflation)*100/1000</f>
        <v>0</v>
      </c>
      <c r="H101" s="94">
        <f>H268*(1+inflation)^2*100/1000</f>
        <v>0</v>
      </c>
    </row>
    <row r="102" spans="1:8" ht="16.5" x14ac:dyDescent="0.3">
      <c r="A102" t="e">
        <f>A269</f>
        <v>#REF!</v>
      </c>
      <c r="B102" t="s">
        <v>37</v>
      </c>
      <c r="C102" t="s">
        <v>129</v>
      </c>
      <c r="F102" s="94">
        <f t="shared" si="10"/>
        <v>0</v>
      </c>
      <c r="G102" s="94">
        <f>G269*(1+inflation)*100/1000</f>
        <v>0</v>
      </c>
      <c r="H102" s="94">
        <f>H269*(1+inflation)^2*100/1000</f>
        <v>0</v>
      </c>
    </row>
    <row r="104" spans="1:8" x14ac:dyDescent="0.25">
      <c r="A104" s="1" t="str">
        <f t="shared" ref="A104:A109" si="11">A271</f>
        <v>SRES</v>
      </c>
    </row>
    <row r="105" spans="1:8" ht="16.5" x14ac:dyDescent="0.3">
      <c r="A105" t="str">
        <f t="shared" si="11"/>
        <v>Northern Territory</v>
      </c>
      <c r="B105" t="s">
        <v>37</v>
      </c>
      <c r="C105" t="s">
        <v>129</v>
      </c>
      <c r="F105" s="94">
        <f>F272*100/1000</f>
        <v>0</v>
      </c>
      <c r="G105" s="94">
        <f>G272*(1+inflation)*100/1000</f>
        <v>0</v>
      </c>
      <c r="H105" s="94">
        <f>H272*(1+inflation)^2*100/1000</f>
        <v>0</v>
      </c>
    </row>
    <row r="106" spans="1:8" ht="16.5" x14ac:dyDescent="0.3">
      <c r="A106" t="str">
        <f t="shared" si="11"/>
        <v>blank</v>
      </c>
      <c r="B106" t="s">
        <v>37</v>
      </c>
      <c r="C106" t="s">
        <v>129</v>
      </c>
      <c r="F106" s="94">
        <f>F273*100/1000</f>
        <v>0</v>
      </c>
      <c r="G106" s="94">
        <f>G273*(1+inflation)*100/1000</f>
        <v>0</v>
      </c>
      <c r="H106" s="94">
        <f>H273*(1+inflation)^2*100/1000</f>
        <v>0</v>
      </c>
    </row>
    <row r="107" spans="1:8" ht="16.5" x14ac:dyDescent="0.3">
      <c r="A107" t="str">
        <f t="shared" si="11"/>
        <v>blank</v>
      </c>
      <c r="B107" t="s">
        <v>37</v>
      </c>
      <c r="C107" t="s">
        <v>129</v>
      </c>
      <c r="F107" s="94">
        <f t="shared" ref="F107:F109" si="12">F274*100/1000</f>
        <v>0</v>
      </c>
      <c r="G107" s="94">
        <f>G274*(1+inflation)*100/1000</f>
        <v>0</v>
      </c>
      <c r="H107" s="94">
        <f>H274*(1+inflation)^2*100/1000</f>
        <v>0</v>
      </c>
    </row>
    <row r="108" spans="1:8" ht="16.5" x14ac:dyDescent="0.3">
      <c r="A108" t="str">
        <f t="shared" si="11"/>
        <v>blank</v>
      </c>
      <c r="B108" t="s">
        <v>37</v>
      </c>
      <c r="C108" t="s">
        <v>129</v>
      </c>
      <c r="F108" s="94">
        <f t="shared" si="12"/>
        <v>0</v>
      </c>
      <c r="G108" s="94">
        <f>G275*(1+inflation)*100/1000</f>
        <v>0</v>
      </c>
      <c r="H108" s="94">
        <f>H275*(1+inflation)^2*100/1000</f>
        <v>0</v>
      </c>
    </row>
    <row r="109" spans="1:8" ht="16.5" x14ac:dyDescent="0.3">
      <c r="A109" t="str">
        <f t="shared" si="11"/>
        <v>blank</v>
      </c>
      <c r="B109" t="s">
        <v>37</v>
      </c>
      <c r="C109" t="s">
        <v>129</v>
      </c>
      <c r="F109" s="94">
        <f t="shared" si="12"/>
        <v>0</v>
      </c>
      <c r="G109" s="94">
        <f>G276*(1+inflation)*100/1000</f>
        <v>0</v>
      </c>
      <c r="H109" s="94">
        <f>H276*(1+inflation)^2*100/1000</f>
        <v>0</v>
      </c>
    </row>
    <row r="111" spans="1:8" x14ac:dyDescent="0.25">
      <c r="A111" s="1" t="str">
        <f t="shared" ref="A111:A116" si="13">A278</f>
        <v>blank</v>
      </c>
    </row>
    <row r="112" spans="1:8" x14ac:dyDescent="0.25">
      <c r="A112" s="24" t="str">
        <f t="shared" si="13"/>
        <v>Northern Territory</v>
      </c>
    </row>
    <row r="113" spans="1:8" ht="16.5" x14ac:dyDescent="0.3">
      <c r="A113" t="e">
        <f t="shared" si="13"/>
        <v>#REF!</v>
      </c>
      <c r="B113" t="s">
        <v>37</v>
      </c>
      <c r="C113" t="s">
        <v>129</v>
      </c>
      <c r="F113" s="94">
        <f t="shared" ref="F113:F116" si="14">F280*100/1000</f>
        <v>0</v>
      </c>
      <c r="G113" s="94">
        <f>G280*(1+inflation)*100/1000</f>
        <v>0</v>
      </c>
      <c r="H113" s="94">
        <f>H280*(1+inflation)^2*100/1000</f>
        <v>0</v>
      </c>
    </row>
    <row r="114" spans="1:8" ht="16.5" x14ac:dyDescent="0.3">
      <c r="A114" t="e">
        <f t="shared" si="13"/>
        <v>#REF!</v>
      </c>
      <c r="B114" t="s">
        <v>37</v>
      </c>
      <c r="C114" t="s">
        <v>129</v>
      </c>
      <c r="F114" s="94">
        <f t="shared" si="14"/>
        <v>0</v>
      </c>
      <c r="G114" s="94">
        <f>G281*(1+inflation)*100/1000</f>
        <v>0</v>
      </c>
      <c r="H114" s="94">
        <f>H281*(1+inflation)^2*100/1000</f>
        <v>0</v>
      </c>
    </row>
    <row r="115" spans="1:8" ht="16.5" x14ac:dyDescent="0.3">
      <c r="A115" t="e">
        <f t="shared" si="13"/>
        <v>#REF!</v>
      </c>
      <c r="B115" t="s">
        <v>37</v>
      </c>
      <c r="C115" t="s">
        <v>129</v>
      </c>
      <c r="F115" s="94">
        <f t="shared" si="14"/>
        <v>0</v>
      </c>
      <c r="G115" s="94">
        <f>G282*(1+inflation)*100/1000</f>
        <v>0</v>
      </c>
      <c r="H115" s="94">
        <f>H282*(1+inflation)^2*100/1000</f>
        <v>0</v>
      </c>
    </row>
    <row r="116" spans="1:8" ht="16.5" x14ac:dyDescent="0.3">
      <c r="A116" t="e">
        <f t="shared" si="13"/>
        <v>#REF!</v>
      </c>
      <c r="B116" t="s">
        <v>37</v>
      </c>
      <c r="C116" t="s">
        <v>129</v>
      </c>
      <c r="F116" s="94">
        <f t="shared" si="14"/>
        <v>0</v>
      </c>
      <c r="G116" s="94">
        <f>G283*(1+inflation)*100/1000</f>
        <v>0</v>
      </c>
      <c r="H116" s="94">
        <f>H283*(1+inflation)^2*100/1000</f>
        <v>0</v>
      </c>
    </row>
    <row r="118" spans="1:8" x14ac:dyDescent="0.25">
      <c r="A118" s="24" t="str">
        <f>A285</f>
        <v>blank</v>
      </c>
    </row>
    <row r="119" spans="1:8" ht="16.5" x14ac:dyDescent="0.3">
      <c r="A119" t="e">
        <f>A286</f>
        <v>#REF!</v>
      </c>
      <c r="B119" t="s">
        <v>37</v>
      </c>
      <c r="C119" t="s">
        <v>129</v>
      </c>
      <c r="F119" s="94">
        <f t="shared" ref="F119:F122" si="15">F286*100/1000</f>
        <v>0</v>
      </c>
      <c r="G119" s="94">
        <f>G286*(1+inflation)*100/1000</f>
        <v>0</v>
      </c>
      <c r="H119" s="94">
        <f>H286*(1+inflation)^2*100/1000</f>
        <v>0</v>
      </c>
    </row>
    <row r="120" spans="1:8" ht="16.5" x14ac:dyDescent="0.3">
      <c r="A120" t="e">
        <f>A287</f>
        <v>#REF!</v>
      </c>
      <c r="B120" t="s">
        <v>37</v>
      </c>
      <c r="C120" t="s">
        <v>129</v>
      </c>
      <c r="F120" s="94">
        <f t="shared" si="15"/>
        <v>0</v>
      </c>
      <c r="G120" s="94">
        <f>G287*(1+inflation)*100/1000</f>
        <v>0</v>
      </c>
      <c r="H120" s="94">
        <f>H287*(1+inflation)^2*100/1000</f>
        <v>0</v>
      </c>
    </row>
    <row r="121" spans="1:8" ht="16.5" x14ac:dyDescent="0.3">
      <c r="A121" t="e">
        <f>A288</f>
        <v>#REF!</v>
      </c>
      <c r="B121" t="s">
        <v>37</v>
      </c>
      <c r="C121" t="s">
        <v>129</v>
      </c>
      <c r="F121" s="94">
        <f t="shared" si="15"/>
        <v>0</v>
      </c>
      <c r="G121" s="94">
        <f>G288*(1+inflation)*100/1000</f>
        <v>0</v>
      </c>
      <c r="H121" s="94">
        <f>H288*(1+inflation)^2*100/1000</f>
        <v>0</v>
      </c>
    </row>
    <row r="122" spans="1:8" ht="16.5" x14ac:dyDescent="0.3">
      <c r="A122" t="e">
        <f>A289</f>
        <v>#REF!</v>
      </c>
      <c r="B122" t="s">
        <v>37</v>
      </c>
      <c r="C122" t="s">
        <v>129</v>
      </c>
      <c r="F122" s="94">
        <f t="shared" si="15"/>
        <v>0</v>
      </c>
      <c r="G122" s="94">
        <f>G289*(1+inflation)*100/1000</f>
        <v>0</v>
      </c>
      <c r="H122" s="94">
        <f>H289*(1+inflation)^2*100/1000</f>
        <v>0</v>
      </c>
    </row>
    <row r="124" spans="1:8" x14ac:dyDescent="0.25">
      <c r="A124" s="24" t="str">
        <f>A291</f>
        <v>blank</v>
      </c>
    </row>
    <row r="125" spans="1:8" ht="16.5" x14ac:dyDescent="0.3">
      <c r="A125" t="e">
        <f>A292</f>
        <v>#REF!</v>
      </c>
      <c r="B125" t="s">
        <v>37</v>
      </c>
      <c r="C125" t="s">
        <v>129</v>
      </c>
      <c r="F125" s="94">
        <f t="shared" ref="F125:F128" si="16">F292*100/1000</f>
        <v>0</v>
      </c>
      <c r="G125" s="94">
        <f>G292*(1+inflation)*100/1000</f>
        <v>0</v>
      </c>
      <c r="H125" s="94">
        <f>H292*(1+inflation)^2*100/1000</f>
        <v>0</v>
      </c>
    </row>
    <row r="126" spans="1:8" ht="16.5" x14ac:dyDescent="0.3">
      <c r="A126" t="e">
        <f>A293</f>
        <v>#REF!</v>
      </c>
      <c r="B126" t="s">
        <v>37</v>
      </c>
      <c r="C126" t="s">
        <v>129</v>
      </c>
      <c r="F126" s="94">
        <f t="shared" si="16"/>
        <v>0</v>
      </c>
      <c r="G126" s="94">
        <f>G293*(1+inflation)*100/1000</f>
        <v>0</v>
      </c>
      <c r="H126" s="94">
        <f>H293*(1+inflation)^2*100/1000</f>
        <v>0</v>
      </c>
    </row>
    <row r="127" spans="1:8" ht="16.5" x14ac:dyDescent="0.3">
      <c r="A127" t="e">
        <f>A294</f>
        <v>#REF!</v>
      </c>
      <c r="B127" t="s">
        <v>37</v>
      </c>
      <c r="C127" t="s">
        <v>129</v>
      </c>
      <c r="F127" s="94">
        <f t="shared" si="16"/>
        <v>0</v>
      </c>
      <c r="G127" s="94">
        <f>G294*(1+inflation)*100/1000</f>
        <v>0</v>
      </c>
      <c r="H127" s="94">
        <f>H294*(1+inflation)^2*100/1000</f>
        <v>0</v>
      </c>
    </row>
    <row r="128" spans="1:8" ht="16.5" x14ac:dyDescent="0.3">
      <c r="A128" t="e">
        <f>A295</f>
        <v>#REF!</v>
      </c>
      <c r="B128" t="s">
        <v>37</v>
      </c>
      <c r="C128" t="s">
        <v>129</v>
      </c>
      <c r="F128" s="94">
        <f t="shared" si="16"/>
        <v>0</v>
      </c>
      <c r="G128" s="94">
        <f>G295*(1+inflation)*100/1000</f>
        <v>0</v>
      </c>
      <c r="H128" s="94">
        <f>H295*(1+inflation)^2*100/1000</f>
        <v>0</v>
      </c>
    </row>
    <row r="130" spans="1:8" x14ac:dyDescent="0.25">
      <c r="A130" s="24" t="str">
        <f>A297</f>
        <v>blank</v>
      </c>
    </row>
    <row r="131" spans="1:8" ht="16.5" x14ac:dyDescent="0.3">
      <c r="A131" t="e">
        <f>A298</f>
        <v>#REF!</v>
      </c>
      <c r="B131" t="s">
        <v>37</v>
      </c>
      <c r="C131" t="s">
        <v>129</v>
      </c>
      <c r="F131" s="94">
        <f t="shared" ref="F131:F134" si="17">F298*100/1000</f>
        <v>0</v>
      </c>
      <c r="G131" s="94">
        <f>G298*(1+inflation)*100/1000</f>
        <v>0</v>
      </c>
      <c r="H131" s="94">
        <f>H298*(1+inflation)^2*100/1000</f>
        <v>0</v>
      </c>
    </row>
    <row r="132" spans="1:8" ht="16.5" x14ac:dyDescent="0.3">
      <c r="A132" t="e">
        <f>A299</f>
        <v>#REF!</v>
      </c>
      <c r="B132" t="s">
        <v>37</v>
      </c>
      <c r="C132" t="s">
        <v>129</v>
      </c>
      <c r="F132" s="94">
        <f t="shared" si="17"/>
        <v>0</v>
      </c>
      <c r="G132" s="94">
        <f>G299*(1+inflation)*100/1000</f>
        <v>0</v>
      </c>
      <c r="H132" s="94">
        <f>H299*(1+inflation)^2*100/1000</f>
        <v>0</v>
      </c>
    </row>
    <row r="133" spans="1:8" ht="16.5" x14ac:dyDescent="0.3">
      <c r="A133" t="e">
        <f>A300</f>
        <v>#REF!</v>
      </c>
      <c r="B133" t="s">
        <v>37</v>
      </c>
      <c r="C133" t="s">
        <v>129</v>
      </c>
      <c r="F133" s="94">
        <f t="shared" si="17"/>
        <v>0</v>
      </c>
      <c r="G133" s="94">
        <f>G300*(1+inflation)*100/1000</f>
        <v>0</v>
      </c>
      <c r="H133" s="94">
        <f>H300*(1+inflation)^2*100/1000</f>
        <v>0</v>
      </c>
    </row>
    <row r="134" spans="1:8" ht="16.5" x14ac:dyDescent="0.3">
      <c r="A134" t="e">
        <f>A301</f>
        <v>#REF!</v>
      </c>
      <c r="B134" t="s">
        <v>37</v>
      </c>
      <c r="C134" t="s">
        <v>129</v>
      </c>
      <c r="F134" s="94">
        <f t="shared" si="17"/>
        <v>0</v>
      </c>
      <c r="G134" s="94">
        <f>G301*(1+inflation)*100/1000</f>
        <v>0</v>
      </c>
      <c r="H134" s="94">
        <f>H301*(1+inflation)^2*100/1000</f>
        <v>0</v>
      </c>
    </row>
    <row r="136" spans="1:8" x14ac:dyDescent="0.25">
      <c r="A136" s="24" t="str">
        <f>A303</f>
        <v>blank</v>
      </c>
    </row>
    <row r="137" spans="1:8" ht="16.5" x14ac:dyDescent="0.3">
      <c r="A137" t="e">
        <f>A304</f>
        <v>#REF!</v>
      </c>
      <c r="B137" t="s">
        <v>37</v>
      </c>
      <c r="C137" t="s">
        <v>129</v>
      </c>
      <c r="F137" s="94">
        <f t="shared" ref="F137:F140" si="18">F304*100/1000</f>
        <v>0</v>
      </c>
      <c r="G137" s="94">
        <f>G304*(1+inflation)*100/1000</f>
        <v>0</v>
      </c>
      <c r="H137" s="94">
        <f>H304*(1+inflation)^2*100/1000</f>
        <v>0</v>
      </c>
    </row>
    <row r="138" spans="1:8" ht="16.5" x14ac:dyDescent="0.3">
      <c r="A138" t="e">
        <f>A305</f>
        <v>#REF!</v>
      </c>
      <c r="B138" t="s">
        <v>37</v>
      </c>
      <c r="C138" t="s">
        <v>129</v>
      </c>
      <c r="F138" s="94">
        <f t="shared" si="18"/>
        <v>0</v>
      </c>
      <c r="G138" s="94">
        <f>G305*(1+inflation)*100/1000</f>
        <v>0</v>
      </c>
      <c r="H138" s="94">
        <f>H305*(1+inflation)^2*100/1000</f>
        <v>0</v>
      </c>
    </row>
    <row r="139" spans="1:8" ht="16.5" x14ac:dyDescent="0.3">
      <c r="A139" t="e">
        <f>A306</f>
        <v>#REF!</v>
      </c>
      <c r="B139" t="s">
        <v>37</v>
      </c>
      <c r="C139" t="s">
        <v>129</v>
      </c>
      <c r="F139" s="94">
        <f t="shared" si="18"/>
        <v>0</v>
      </c>
      <c r="G139" s="94">
        <f>G306*(1+inflation)*100/1000</f>
        <v>0</v>
      </c>
      <c r="H139" s="94">
        <f>H306*(1+inflation)^2*100/1000</f>
        <v>0</v>
      </c>
    </row>
    <row r="140" spans="1:8" ht="16.5" x14ac:dyDescent="0.3">
      <c r="A140" t="e">
        <f>A307</f>
        <v>#REF!</v>
      </c>
      <c r="B140" t="s">
        <v>37</v>
      </c>
      <c r="C140" t="s">
        <v>129</v>
      </c>
      <c r="F140" s="94">
        <f t="shared" si="18"/>
        <v>0</v>
      </c>
      <c r="G140" s="94">
        <f>G307*(1+inflation)*100/1000</f>
        <v>0</v>
      </c>
      <c r="H140" s="94">
        <f>H307*(1+inflation)^2*100/1000</f>
        <v>0</v>
      </c>
    </row>
    <row r="142" spans="1:8" x14ac:dyDescent="0.25">
      <c r="A142" s="1" t="str">
        <f t="shared" ref="A142:A147" si="19">A309</f>
        <v>blank</v>
      </c>
    </row>
    <row r="143" spans="1:8" x14ac:dyDescent="0.25">
      <c r="A143" s="24" t="str">
        <f t="shared" si="19"/>
        <v>Northern Territory</v>
      </c>
    </row>
    <row r="144" spans="1:8" ht="16.5" x14ac:dyDescent="0.3">
      <c r="A144" t="e">
        <f t="shared" si="19"/>
        <v>#REF!</v>
      </c>
      <c r="B144" t="s">
        <v>37</v>
      </c>
      <c r="C144" t="s">
        <v>129</v>
      </c>
      <c r="F144" s="94">
        <f>IF($A$142="blank",0,F311*100/1000)</f>
        <v>0</v>
      </c>
      <c r="G144" s="94">
        <f t="shared" ref="G144:H144" si="20">IF($A$142="blank",0,G311*100/1000)</f>
        <v>0</v>
      </c>
      <c r="H144" s="94">
        <f t="shared" si="20"/>
        <v>0</v>
      </c>
    </row>
    <row r="145" spans="1:8" ht="16.5" x14ac:dyDescent="0.3">
      <c r="A145" t="e">
        <f t="shared" si="19"/>
        <v>#REF!</v>
      </c>
      <c r="B145" t="s">
        <v>37</v>
      </c>
      <c r="C145" t="s">
        <v>129</v>
      </c>
      <c r="F145" s="94">
        <f>IF($A142="blank",0,F312*100/1000)</f>
        <v>0</v>
      </c>
      <c r="G145" s="94">
        <f t="shared" ref="G145:H145" si="21">IF($A142="blank",0,G312*100/1000)</f>
        <v>0</v>
      </c>
      <c r="H145" s="94">
        <f t="shared" si="21"/>
        <v>0</v>
      </c>
    </row>
    <row r="146" spans="1:8" ht="16.5" x14ac:dyDescent="0.3">
      <c r="A146" t="e">
        <f t="shared" si="19"/>
        <v>#REF!</v>
      </c>
      <c r="B146" t="s">
        <v>37</v>
      </c>
      <c r="C146" t="s">
        <v>129</v>
      </c>
      <c r="F146" s="94">
        <f>IF($A142="blank",0,F313*100/1000)</f>
        <v>0</v>
      </c>
      <c r="G146" s="94">
        <f t="shared" ref="G146:H146" si="22">IF($A142="blank",0,G313*100/1000)</f>
        <v>0</v>
      </c>
      <c r="H146" s="94">
        <f t="shared" si="22"/>
        <v>0</v>
      </c>
    </row>
    <row r="147" spans="1:8" ht="16.5" x14ac:dyDescent="0.3">
      <c r="A147" t="e">
        <f t="shared" si="19"/>
        <v>#REF!</v>
      </c>
      <c r="B147" t="s">
        <v>37</v>
      </c>
      <c r="C147" t="s">
        <v>129</v>
      </c>
      <c r="F147" s="94">
        <f>IF($A142="blank",0,F314*100/1000)</f>
        <v>0</v>
      </c>
      <c r="G147" s="94">
        <f t="shared" ref="G147:H147" si="23">IF($A142="blank",0,G314*100/1000)</f>
        <v>0</v>
      </c>
      <c r="H147" s="94">
        <f t="shared" si="23"/>
        <v>0</v>
      </c>
    </row>
    <row r="149" spans="1:8" x14ac:dyDescent="0.25">
      <c r="A149" s="24" t="str">
        <f>A316</f>
        <v>blank</v>
      </c>
    </row>
    <row r="150" spans="1:8" ht="16.5" x14ac:dyDescent="0.3">
      <c r="A150" t="e">
        <f>A317</f>
        <v>#REF!</v>
      </c>
      <c r="B150" t="s">
        <v>37</v>
      </c>
      <c r="C150" t="s">
        <v>129</v>
      </c>
      <c r="F150" s="94">
        <f>IF($A$142="blank",0,F317*100/1000)</f>
        <v>0</v>
      </c>
      <c r="G150" s="94">
        <f t="shared" ref="G150:H150" si="24">IF($A$142="blank",0,G317*100/1000)</f>
        <v>0</v>
      </c>
      <c r="H150" s="94">
        <f t="shared" si="24"/>
        <v>0</v>
      </c>
    </row>
    <row r="151" spans="1:8" ht="16.5" x14ac:dyDescent="0.3">
      <c r="A151" t="e">
        <f>A318</f>
        <v>#REF!</v>
      </c>
      <c r="B151" t="s">
        <v>37</v>
      </c>
      <c r="C151" t="s">
        <v>129</v>
      </c>
      <c r="F151" s="94">
        <f t="shared" ref="F151:H153" si="25">IF($A$142="blank",0,F318*100/1000)</f>
        <v>0</v>
      </c>
      <c r="G151" s="94">
        <f t="shared" si="25"/>
        <v>0</v>
      </c>
      <c r="H151" s="94">
        <f t="shared" si="25"/>
        <v>0</v>
      </c>
    </row>
    <row r="152" spans="1:8" ht="16.5" x14ac:dyDescent="0.3">
      <c r="A152" t="e">
        <f>A319</f>
        <v>#REF!</v>
      </c>
      <c r="B152" t="s">
        <v>37</v>
      </c>
      <c r="C152" t="s">
        <v>129</v>
      </c>
      <c r="F152" s="94">
        <f t="shared" si="25"/>
        <v>0</v>
      </c>
      <c r="G152" s="94">
        <f t="shared" si="25"/>
        <v>0</v>
      </c>
      <c r="H152" s="94">
        <f t="shared" si="25"/>
        <v>0</v>
      </c>
    </row>
    <row r="153" spans="1:8" ht="16.5" x14ac:dyDescent="0.3">
      <c r="A153" t="e">
        <f>A320</f>
        <v>#REF!</v>
      </c>
      <c r="B153" t="s">
        <v>37</v>
      </c>
      <c r="C153" t="s">
        <v>129</v>
      </c>
      <c r="F153" s="94">
        <f t="shared" si="25"/>
        <v>0</v>
      </c>
      <c r="G153" s="94">
        <f t="shared" si="25"/>
        <v>0</v>
      </c>
      <c r="H153" s="94">
        <f t="shared" si="25"/>
        <v>0</v>
      </c>
    </row>
    <row r="155" spans="1:8" x14ac:dyDescent="0.25">
      <c r="A155" s="24" t="str">
        <f>A322</f>
        <v>blank</v>
      </c>
    </row>
    <row r="156" spans="1:8" ht="16.5" x14ac:dyDescent="0.3">
      <c r="A156" t="e">
        <f>A323</f>
        <v>#REF!</v>
      </c>
      <c r="B156" t="s">
        <v>37</v>
      </c>
      <c r="C156" t="s">
        <v>129</v>
      </c>
      <c r="F156" s="94">
        <f>IF($A$142="blank",0,F323*100/1000)</f>
        <v>0</v>
      </c>
      <c r="G156" s="94">
        <f t="shared" ref="G156:H156" si="26">IF($A$142="blank",0,G323*100/1000)</f>
        <v>0</v>
      </c>
      <c r="H156" s="94">
        <f t="shared" si="26"/>
        <v>0</v>
      </c>
    </row>
    <row r="157" spans="1:8" ht="16.5" x14ac:dyDescent="0.3">
      <c r="A157" t="e">
        <f>A324</f>
        <v>#REF!</v>
      </c>
      <c r="B157" t="s">
        <v>37</v>
      </c>
      <c r="C157" t="s">
        <v>129</v>
      </c>
      <c r="F157" s="94">
        <f t="shared" ref="F157:H159" si="27">IF($A$142="blank",0,F324*100/1000)</f>
        <v>0</v>
      </c>
      <c r="G157" s="94">
        <f t="shared" si="27"/>
        <v>0</v>
      </c>
      <c r="H157" s="94">
        <f t="shared" si="27"/>
        <v>0</v>
      </c>
    </row>
    <row r="158" spans="1:8" ht="16.5" x14ac:dyDescent="0.3">
      <c r="A158" t="e">
        <f>A325</f>
        <v>#REF!</v>
      </c>
      <c r="B158" t="s">
        <v>37</v>
      </c>
      <c r="C158" t="s">
        <v>129</v>
      </c>
      <c r="F158" s="94">
        <f t="shared" si="27"/>
        <v>0</v>
      </c>
      <c r="G158" s="94">
        <f t="shared" si="27"/>
        <v>0</v>
      </c>
      <c r="H158" s="94">
        <f t="shared" si="27"/>
        <v>0</v>
      </c>
    </row>
    <row r="159" spans="1:8" ht="16.5" x14ac:dyDescent="0.3">
      <c r="A159" t="e">
        <f>A326</f>
        <v>#REF!</v>
      </c>
      <c r="B159" t="s">
        <v>37</v>
      </c>
      <c r="C159" t="s">
        <v>129</v>
      </c>
      <c r="F159" s="94">
        <f t="shared" si="27"/>
        <v>0</v>
      </c>
      <c r="G159" s="94">
        <f t="shared" si="27"/>
        <v>0</v>
      </c>
      <c r="H159" s="94">
        <f t="shared" si="27"/>
        <v>0</v>
      </c>
    </row>
    <row r="161" spans="1:9" x14ac:dyDescent="0.25">
      <c r="A161" s="24" t="str">
        <f>A328</f>
        <v>blank</v>
      </c>
    </row>
    <row r="162" spans="1:9" ht="16.5" x14ac:dyDescent="0.3">
      <c r="A162" t="e">
        <f>A329</f>
        <v>#REF!</v>
      </c>
      <c r="B162" t="s">
        <v>37</v>
      </c>
      <c r="C162" t="s">
        <v>129</v>
      </c>
      <c r="F162" s="94">
        <f>IF($A$142="blank",0,F329*100/1000)</f>
        <v>0</v>
      </c>
      <c r="G162" s="94">
        <f t="shared" ref="G162:H162" si="28">IF($A$142="blank",0,G329*100/1000)</f>
        <v>0</v>
      </c>
      <c r="H162" s="94">
        <f t="shared" si="28"/>
        <v>0</v>
      </c>
    </row>
    <row r="163" spans="1:9" ht="16.5" x14ac:dyDescent="0.3">
      <c r="A163" t="e">
        <f>A330</f>
        <v>#REF!</v>
      </c>
      <c r="B163" t="s">
        <v>37</v>
      </c>
      <c r="C163" t="s">
        <v>129</v>
      </c>
      <c r="F163" s="94">
        <f t="shared" ref="F163:H165" si="29">IF($A$142="blank",0,F330*100/1000)</f>
        <v>0</v>
      </c>
      <c r="G163" s="94">
        <f t="shared" si="29"/>
        <v>0</v>
      </c>
      <c r="H163" s="94">
        <f t="shared" si="29"/>
        <v>0</v>
      </c>
    </row>
    <row r="164" spans="1:9" ht="16.5" x14ac:dyDescent="0.3">
      <c r="A164" t="e">
        <f>A331</f>
        <v>#REF!</v>
      </c>
      <c r="B164" t="s">
        <v>37</v>
      </c>
      <c r="C164" t="s">
        <v>129</v>
      </c>
      <c r="F164" s="94">
        <f t="shared" si="29"/>
        <v>0</v>
      </c>
      <c r="G164" s="94">
        <f t="shared" si="29"/>
        <v>0</v>
      </c>
      <c r="H164" s="94">
        <f t="shared" si="29"/>
        <v>0</v>
      </c>
    </row>
    <row r="165" spans="1:9" ht="16.5" x14ac:dyDescent="0.3">
      <c r="A165" t="e">
        <f>A332</f>
        <v>#REF!</v>
      </c>
      <c r="B165" t="s">
        <v>37</v>
      </c>
      <c r="C165" t="s">
        <v>129</v>
      </c>
      <c r="F165" s="94">
        <f t="shared" si="29"/>
        <v>0</v>
      </c>
      <c r="G165" s="94">
        <f t="shared" si="29"/>
        <v>0</v>
      </c>
      <c r="H165" s="94">
        <f t="shared" si="29"/>
        <v>0</v>
      </c>
    </row>
    <row r="167" spans="1:9" x14ac:dyDescent="0.25">
      <c r="A167" s="24" t="str">
        <f>A334</f>
        <v>blank</v>
      </c>
    </row>
    <row r="168" spans="1:9" ht="16.5" x14ac:dyDescent="0.3">
      <c r="A168" t="e">
        <f>A335</f>
        <v>#REF!</v>
      </c>
      <c r="B168" t="s">
        <v>37</v>
      </c>
      <c r="C168" t="s">
        <v>129</v>
      </c>
      <c r="F168" s="94">
        <f>IF($A$142="blank",0,F335*100/1000)</f>
        <v>0</v>
      </c>
      <c r="G168" s="94">
        <f t="shared" ref="G168:H168" si="30">IF($A$142="blank",0,G335*100/1000)</f>
        <v>0</v>
      </c>
      <c r="H168" s="94">
        <f t="shared" si="30"/>
        <v>0</v>
      </c>
    </row>
    <row r="169" spans="1:9" ht="16.5" x14ac:dyDescent="0.3">
      <c r="A169" t="e">
        <f>A336</f>
        <v>#REF!</v>
      </c>
      <c r="B169" t="s">
        <v>37</v>
      </c>
      <c r="C169" t="s">
        <v>129</v>
      </c>
      <c r="F169" s="94">
        <f t="shared" ref="F169:H171" si="31">IF($A$142="blank",0,F336*100/1000)</f>
        <v>0</v>
      </c>
      <c r="G169" s="94">
        <f t="shared" si="31"/>
        <v>0</v>
      </c>
      <c r="H169" s="94">
        <f t="shared" si="31"/>
        <v>0</v>
      </c>
    </row>
    <row r="170" spans="1:9" ht="16.5" x14ac:dyDescent="0.3">
      <c r="A170" t="e">
        <f>A337</f>
        <v>#REF!</v>
      </c>
      <c r="B170" t="s">
        <v>37</v>
      </c>
      <c r="C170" t="s">
        <v>129</v>
      </c>
      <c r="F170" s="94">
        <f t="shared" si="31"/>
        <v>0</v>
      </c>
      <c r="G170" s="94">
        <f t="shared" si="31"/>
        <v>0</v>
      </c>
      <c r="H170" s="94">
        <f t="shared" si="31"/>
        <v>0</v>
      </c>
    </row>
    <row r="171" spans="1:9" ht="16.5" x14ac:dyDescent="0.3">
      <c r="A171" t="e">
        <f>A338</f>
        <v>#REF!</v>
      </c>
      <c r="B171" t="s">
        <v>37</v>
      </c>
      <c r="C171" t="s">
        <v>129</v>
      </c>
      <c r="F171" s="94">
        <f t="shared" si="31"/>
        <v>0</v>
      </c>
      <c r="G171" s="94">
        <f t="shared" si="31"/>
        <v>0</v>
      </c>
      <c r="H171" s="94">
        <f t="shared" si="31"/>
        <v>0</v>
      </c>
    </row>
    <row r="173" spans="1:9" s="23" customFormat="1" ht="18.75" x14ac:dyDescent="0.3">
      <c r="A173" s="22" t="s">
        <v>126</v>
      </c>
    </row>
    <row r="174" spans="1:9" ht="16.5" x14ac:dyDescent="0.3">
      <c r="B174" s="96"/>
      <c r="C174" s="96"/>
      <c r="D174" s="96"/>
      <c r="E174" s="96"/>
      <c r="F174" s="96"/>
      <c r="G174" s="96"/>
      <c r="H174" s="96"/>
      <c r="I174" s="87"/>
    </row>
    <row r="175" spans="1:9" ht="16.5" x14ac:dyDescent="0.3">
      <c r="A175" s="8" t="s">
        <v>74</v>
      </c>
      <c r="B175" s="96"/>
      <c r="C175" s="96"/>
      <c r="D175" s="96"/>
      <c r="E175" s="96"/>
      <c r="F175" s="96"/>
      <c r="G175" s="96"/>
      <c r="H175" s="96"/>
      <c r="I175" s="87"/>
    </row>
    <row r="176" spans="1:9" ht="16.5" x14ac:dyDescent="0.3">
      <c r="A176" s="96" t="s">
        <v>113</v>
      </c>
      <c r="B176" s="120"/>
      <c r="C176" s="96" t="s">
        <v>67</v>
      </c>
      <c r="D176" s="96"/>
      <c r="E176" s="96"/>
      <c r="F176" s="120"/>
      <c r="G176" s="120"/>
      <c r="H176" s="120"/>
      <c r="I176" s="28"/>
    </row>
    <row r="177" spans="1:9" ht="16.5" x14ac:dyDescent="0.3">
      <c r="A177" s="96" t="s">
        <v>114</v>
      </c>
      <c r="B177" s="120"/>
      <c r="C177" s="96" t="s">
        <v>67</v>
      </c>
      <c r="D177" s="96"/>
      <c r="E177" s="96"/>
      <c r="F177" s="120"/>
      <c r="G177" s="120"/>
      <c r="H177" s="120"/>
      <c r="I177" s="87"/>
    </row>
    <row r="178" spans="1:9" ht="16.5" x14ac:dyDescent="0.3">
      <c r="A178" s="87"/>
      <c r="B178" s="87"/>
      <c r="C178" s="87"/>
      <c r="D178" s="87"/>
      <c r="E178" s="87"/>
      <c r="F178" s="38"/>
      <c r="G178" s="87"/>
      <c r="H178" s="87"/>
      <c r="I178" s="87"/>
    </row>
    <row r="179" spans="1:9" ht="16.5" x14ac:dyDescent="0.3">
      <c r="A179" s="97" t="str">
        <f>Dist1</f>
        <v>Northern Territory</v>
      </c>
      <c r="B179" s="96"/>
      <c r="C179" s="96"/>
      <c r="D179" s="96"/>
      <c r="E179" s="96"/>
      <c r="F179" s="98"/>
      <c r="G179" s="96"/>
      <c r="H179" s="96"/>
      <c r="I179" s="87"/>
    </row>
    <row r="180" spans="1:9" ht="16.5" x14ac:dyDescent="0.3">
      <c r="A180" s="87" t="e">
        <f>#REF!</f>
        <v>#REF!</v>
      </c>
      <c r="B180" s="120"/>
      <c r="C180" s="96" t="s">
        <v>67</v>
      </c>
      <c r="D180" s="96"/>
      <c r="E180" s="96"/>
      <c r="F180" s="120"/>
      <c r="G180" s="120"/>
      <c r="H180" s="120"/>
      <c r="I180" s="87"/>
    </row>
    <row r="181" spans="1:9" ht="16.5" x14ac:dyDescent="0.3">
      <c r="A181" s="87" t="e">
        <f>#REF!</f>
        <v>#REF!</v>
      </c>
      <c r="B181" s="120"/>
      <c r="C181" s="96" t="s">
        <v>67</v>
      </c>
      <c r="D181" s="96"/>
      <c r="E181" s="96"/>
      <c r="F181" s="120"/>
      <c r="G181" s="120"/>
      <c r="H181" s="120"/>
      <c r="I181" s="87"/>
    </row>
    <row r="182" spans="1:9" ht="16.5" x14ac:dyDescent="0.3">
      <c r="A182" s="87" t="e">
        <f>#REF!</f>
        <v>#REF!</v>
      </c>
      <c r="B182" s="120"/>
      <c r="C182" s="96" t="s">
        <v>67</v>
      </c>
      <c r="D182" s="96"/>
      <c r="E182" s="96"/>
      <c r="F182" s="120"/>
      <c r="G182" s="120"/>
      <c r="H182" s="120"/>
      <c r="I182" s="87"/>
    </row>
    <row r="183" spans="1:9" ht="16.5" x14ac:dyDescent="0.3">
      <c r="A183" s="87" t="e">
        <f>#REF!</f>
        <v>#REF!</v>
      </c>
      <c r="B183" s="120"/>
      <c r="C183" s="96" t="s">
        <v>67</v>
      </c>
      <c r="D183" s="96"/>
      <c r="E183" s="96"/>
      <c r="F183" s="120"/>
      <c r="G183" s="120"/>
      <c r="H183" s="120"/>
      <c r="I183" s="87"/>
    </row>
    <row r="184" spans="1:9" ht="16.5" x14ac:dyDescent="0.3">
      <c r="A184" s="96"/>
      <c r="B184" s="87"/>
      <c r="C184" s="87"/>
      <c r="D184" s="87"/>
      <c r="E184" s="87"/>
      <c r="F184" s="99"/>
      <c r="G184" s="100"/>
      <c r="H184" s="100"/>
      <c r="I184" s="87"/>
    </row>
    <row r="185" spans="1:9" ht="16.5" x14ac:dyDescent="0.3">
      <c r="A185" s="40" t="str">
        <f>Dist2</f>
        <v>blank</v>
      </c>
      <c r="B185" s="87"/>
      <c r="C185" s="87"/>
      <c r="D185" s="87"/>
      <c r="E185" s="87"/>
      <c r="F185" s="38"/>
      <c r="G185" s="87"/>
      <c r="H185" s="87"/>
      <c r="I185" s="87"/>
    </row>
    <row r="186" spans="1:9" ht="16.5" x14ac:dyDescent="0.3">
      <c r="A186" s="87" t="e">
        <f>#REF!</f>
        <v>#REF!</v>
      </c>
      <c r="B186" s="120"/>
      <c r="C186" s="96" t="s">
        <v>67</v>
      </c>
      <c r="D186" s="96"/>
      <c r="E186" s="96"/>
      <c r="F186" s="120"/>
      <c r="G186" s="120"/>
      <c r="H186" s="120"/>
      <c r="I186" s="87"/>
    </row>
    <row r="187" spans="1:9" ht="16.5" x14ac:dyDescent="0.3">
      <c r="A187" s="87" t="e">
        <f>#REF!</f>
        <v>#REF!</v>
      </c>
      <c r="B187" s="120"/>
      <c r="C187" s="96" t="s">
        <v>67</v>
      </c>
      <c r="D187" s="96"/>
      <c r="E187" s="96"/>
      <c r="F187" s="120"/>
      <c r="G187" s="120"/>
      <c r="H187" s="120"/>
      <c r="I187" s="87"/>
    </row>
    <row r="188" spans="1:9" ht="16.5" x14ac:dyDescent="0.3">
      <c r="A188" s="87" t="e">
        <f>#REF!</f>
        <v>#REF!</v>
      </c>
      <c r="B188" s="120"/>
      <c r="C188" s="96" t="s">
        <v>67</v>
      </c>
      <c r="D188" s="96"/>
      <c r="E188" s="96"/>
      <c r="F188" s="120"/>
      <c r="G188" s="120"/>
      <c r="H188" s="120"/>
      <c r="I188" s="87"/>
    </row>
    <row r="189" spans="1:9" ht="16.5" x14ac:dyDescent="0.3">
      <c r="A189" s="87" t="e">
        <f>#REF!</f>
        <v>#REF!</v>
      </c>
      <c r="B189" s="120"/>
      <c r="C189" s="96" t="s">
        <v>67</v>
      </c>
      <c r="D189" s="96"/>
      <c r="E189" s="96"/>
      <c r="F189" s="120"/>
      <c r="G189" s="120"/>
      <c r="H189" s="120"/>
      <c r="I189" s="87"/>
    </row>
    <row r="190" spans="1:9" ht="16.5" x14ac:dyDescent="0.3">
      <c r="A190" s="101"/>
      <c r="B190" s="96"/>
      <c r="C190" s="96"/>
      <c r="D190" s="96"/>
      <c r="E190" s="87"/>
      <c r="F190" s="38"/>
      <c r="G190" s="87"/>
      <c r="H190" s="87"/>
      <c r="I190" s="87"/>
    </row>
    <row r="191" spans="1:9" ht="16.5" x14ac:dyDescent="0.3">
      <c r="A191" s="97" t="str">
        <f>Dist3</f>
        <v>blank</v>
      </c>
      <c r="B191" s="96"/>
      <c r="C191" s="96"/>
      <c r="D191" s="96"/>
      <c r="E191" s="96"/>
      <c r="F191" s="38"/>
      <c r="G191" s="96"/>
      <c r="H191" s="96"/>
      <c r="I191" s="87"/>
    </row>
    <row r="192" spans="1:9" ht="16.5" x14ac:dyDescent="0.3">
      <c r="A192" s="87" t="e">
        <f>#REF!</f>
        <v>#REF!</v>
      </c>
      <c r="B192" s="120"/>
      <c r="C192" s="96" t="s">
        <v>67</v>
      </c>
      <c r="D192" s="96"/>
      <c r="E192" s="96"/>
      <c r="F192" s="120"/>
      <c r="G192" s="120"/>
      <c r="H192" s="120"/>
      <c r="I192" s="87"/>
    </row>
    <row r="193" spans="1:9" ht="16.5" x14ac:dyDescent="0.3">
      <c r="A193" s="87" t="e">
        <f>#REF!</f>
        <v>#REF!</v>
      </c>
      <c r="B193" s="120"/>
      <c r="C193" s="96" t="s">
        <v>67</v>
      </c>
      <c r="D193" s="96"/>
      <c r="E193" s="96"/>
      <c r="F193" s="120"/>
      <c r="G193" s="120"/>
      <c r="H193" s="120"/>
      <c r="I193" s="87"/>
    </row>
    <row r="194" spans="1:9" ht="16.5" x14ac:dyDescent="0.3">
      <c r="A194" s="87" t="e">
        <f>#REF!</f>
        <v>#REF!</v>
      </c>
      <c r="B194" s="120"/>
      <c r="C194" s="96" t="s">
        <v>67</v>
      </c>
      <c r="D194" s="96"/>
      <c r="E194" s="96"/>
      <c r="F194" s="120"/>
      <c r="G194" s="120"/>
      <c r="H194" s="120"/>
      <c r="I194" s="87"/>
    </row>
    <row r="195" spans="1:9" ht="16.5" x14ac:dyDescent="0.3">
      <c r="A195" s="87" t="e">
        <f>#REF!</f>
        <v>#REF!</v>
      </c>
      <c r="B195" s="120"/>
      <c r="C195" s="96" t="s">
        <v>67</v>
      </c>
      <c r="D195" s="96"/>
      <c r="E195" s="96"/>
      <c r="F195" s="120"/>
      <c r="G195" s="120"/>
      <c r="H195" s="120"/>
      <c r="I195" s="87"/>
    </row>
    <row r="196" spans="1:9" ht="16.5" x14ac:dyDescent="0.3">
      <c r="A196" s="87"/>
      <c r="B196" s="87"/>
      <c r="C196" s="87"/>
      <c r="D196" s="87"/>
      <c r="E196" s="87"/>
      <c r="F196" s="38"/>
      <c r="G196" s="87"/>
      <c r="H196" s="87"/>
      <c r="I196" s="87"/>
    </row>
    <row r="197" spans="1:9" ht="16.5" x14ac:dyDescent="0.3">
      <c r="A197" s="97" t="str">
        <f>Dist4</f>
        <v>blank</v>
      </c>
      <c r="B197" s="96"/>
      <c r="C197" s="96"/>
      <c r="D197" s="96"/>
      <c r="E197" s="96"/>
      <c r="F197" s="98"/>
      <c r="G197" s="96"/>
      <c r="H197" s="96"/>
      <c r="I197" s="87"/>
    </row>
    <row r="198" spans="1:9" ht="16.5" x14ac:dyDescent="0.3">
      <c r="A198" s="87" t="e">
        <f>#REF!</f>
        <v>#REF!</v>
      </c>
      <c r="B198" s="120"/>
      <c r="C198" s="96" t="s">
        <v>67</v>
      </c>
      <c r="D198" s="96"/>
      <c r="E198" s="96"/>
      <c r="F198" s="120"/>
      <c r="G198" s="120"/>
      <c r="H198" s="120"/>
      <c r="I198" s="87"/>
    </row>
    <row r="199" spans="1:9" ht="16.5" x14ac:dyDescent="0.3">
      <c r="A199" s="87" t="e">
        <f>#REF!</f>
        <v>#REF!</v>
      </c>
      <c r="B199" s="120"/>
      <c r="C199" s="96" t="s">
        <v>67</v>
      </c>
      <c r="D199" s="96"/>
      <c r="E199" s="96"/>
      <c r="F199" s="120"/>
      <c r="G199" s="120"/>
      <c r="H199" s="120"/>
      <c r="I199" s="87"/>
    </row>
    <row r="200" spans="1:9" ht="16.5" x14ac:dyDescent="0.3">
      <c r="A200" s="87" t="e">
        <f>#REF!</f>
        <v>#REF!</v>
      </c>
      <c r="B200" s="120"/>
      <c r="C200" s="96" t="s">
        <v>67</v>
      </c>
      <c r="D200" s="96"/>
      <c r="E200" s="96"/>
      <c r="F200" s="120"/>
      <c r="G200" s="120"/>
      <c r="H200" s="120"/>
      <c r="I200" s="87"/>
    </row>
    <row r="201" spans="1:9" ht="16.5" x14ac:dyDescent="0.3">
      <c r="A201" s="87" t="e">
        <f>#REF!</f>
        <v>#REF!</v>
      </c>
      <c r="B201" s="120"/>
      <c r="C201" s="96" t="s">
        <v>67</v>
      </c>
      <c r="D201" s="96"/>
      <c r="E201" s="96"/>
      <c r="F201" s="120"/>
      <c r="G201" s="120"/>
      <c r="H201" s="120"/>
      <c r="I201" s="87"/>
    </row>
    <row r="202" spans="1:9" ht="16.5" x14ac:dyDescent="0.3">
      <c r="A202" s="87"/>
      <c r="B202" s="87"/>
      <c r="C202" s="87"/>
      <c r="D202" s="87"/>
      <c r="E202" s="87"/>
      <c r="F202" s="38"/>
      <c r="G202" s="87"/>
      <c r="H202" s="87"/>
      <c r="I202" s="87"/>
    </row>
    <row r="203" spans="1:9" ht="16.5" x14ac:dyDescent="0.3">
      <c r="A203" s="97" t="str">
        <f>Dist5</f>
        <v>blank</v>
      </c>
      <c r="B203" s="96"/>
      <c r="C203" s="96"/>
      <c r="D203" s="96"/>
      <c r="E203" s="96"/>
      <c r="F203" s="98"/>
      <c r="G203" s="96"/>
      <c r="H203" s="96"/>
      <c r="I203" s="87"/>
    </row>
    <row r="204" spans="1:9" ht="16.5" x14ac:dyDescent="0.3">
      <c r="A204" s="87" t="e">
        <f>#REF!</f>
        <v>#REF!</v>
      </c>
      <c r="B204" s="120"/>
      <c r="C204" s="96" t="s">
        <v>67</v>
      </c>
      <c r="D204" s="96"/>
      <c r="E204" s="96"/>
      <c r="F204" s="120"/>
      <c r="G204" s="120"/>
      <c r="H204" s="120"/>
      <c r="I204" s="87"/>
    </row>
    <row r="205" spans="1:9" ht="16.5" x14ac:dyDescent="0.3">
      <c r="A205" s="87" t="e">
        <f>#REF!</f>
        <v>#REF!</v>
      </c>
      <c r="B205" s="120"/>
      <c r="C205" s="96" t="s">
        <v>67</v>
      </c>
      <c r="D205" s="96"/>
      <c r="E205" s="96"/>
      <c r="F205" s="120"/>
      <c r="G205" s="120"/>
      <c r="H205" s="120"/>
      <c r="I205" s="87"/>
    </row>
    <row r="206" spans="1:9" ht="16.5" x14ac:dyDescent="0.3">
      <c r="A206" s="87" t="e">
        <f>#REF!</f>
        <v>#REF!</v>
      </c>
      <c r="B206" s="120"/>
      <c r="C206" s="96" t="s">
        <v>67</v>
      </c>
      <c r="D206" s="96"/>
      <c r="E206" s="96"/>
      <c r="F206" s="120"/>
      <c r="G206" s="120"/>
      <c r="H206" s="120"/>
      <c r="I206" s="87"/>
    </row>
    <row r="207" spans="1:9" ht="16.5" x14ac:dyDescent="0.3">
      <c r="A207" s="87" t="e">
        <f>#REF!</f>
        <v>#REF!</v>
      </c>
      <c r="B207" s="120"/>
      <c r="C207" s="96" t="s">
        <v>67</v>
      </c>
      <c r="D207" s="96"/>
      <c r="E207" s="96"/>
      <c r="F207" s="120"/>
      <c r="G207" s="120"/>
      <c r="H207" s="120"/>
      <c r="I207" s="87"/>
    </row>
    <row r="208" spans="1:9" ht="16.5" x14ac:dyDescent="0.3">
      <c r="A208" s="96"/>
      <c r="B208" s="96"/>
      <c r="C208" s="96"/>
      <c r="D208" s="96"/>
      <c r="E208" s="96"/>
      <c r="F208" s="38"/>
      <c r="G208" s="100"/>
      <c r="H208" s="100"/>
      <c r="I208" s="87"/>
    </row>
    <row r="209" spans="1:9" ht="16.5" x14ac:dyDescent="0.3">
      <c r="A209" s="93" t="s">
        <v>93</v>
      </c>
      <c r="B209" s="96"/>
      <c r="C209" s="96"/>
      <c r="D209" s="96"/>
      <c r="E209" s="96"/>
      <c r="F209" s="38"/>
      <c r="G209" s="100"/>
      <c r="H209" s="100"/>
      <c r="I209" s="87"/>
    </row>
    <row r="210" spans="1:9" ht="16.5" x14ac:dyDescent="0.3">
      <c r="A210" s="97" t="str">
        <f>Dist1</f>
        <v>Northern Territory</v>
      </c>
      <c r="B210" s="96"/>
      <c r="C210" s="96"/>
      <c r="D210" s="96"/>
      <c r="E210" s="96"/>
      <c r="F210" s="98"/>
      <c r="G210" s="96"/>
      <c r="H210" s="96"/>
      <c r="I210" s="87"/>
    </row>
    <row r="211" spans="1:9" ht="16.5" x14ac:dyDescent="0.3">
      <c r="A211" s="87" t="e">
        <f>#REF!</f>
        <v>#REF!</v>
      </c>
      <c r="B211" s="120"/>
      <c r="C211" s="96" t="s">
        <v>67</v>
      </c>
      <c r="D211" s="96"/>
      <c r="E211" s="96"/>
      <c r="F211" s="120"/>
      <c r="G211" s="120"/>
      <c r="H211" s="120"/>
      <c r="I211" s="87"/>
    </row>
    <row r="212" spans="1:9" ht="16.5" x14ac:dyDescent="0.3">
      <c r="A212" s="87" t="e">
        <f>#REF!</f>
        <v>#REF!</v>
      </c>
      <c r="B212" s="120"/>
      <c r="C212" s="96" t="s">
        <v>67</v>
      </c>
      <c r="D212" s="96"/>
      <c r="E212" s="96"/>
      <c r="F212" s="120"/>
      <c r="G212" s="120"/>
      <c r="H212" s="120"/>
      <c r="I212" s="87"/>
    </row>
    <row r="213" spans="1:9" ht="16.5" x14ac:dyDescent="0.3">
      <c r="A213" s="87" t="e">
        <f>#REF!</f>
        <v>#REF!</v>
      </c>
      <c r="B213" s="120"/>
      <c r="C213" s="96" t="s">
        <v>67</v>
      </c>
      <c r="D213" s="96"/>
      <c r="E213" s="96"/>
      <c r="F213" s="120"/>
      <c r="G213" s="120"/>
      <c r="H213" s="120"/>
      <c r="I213" s="87"/>
    </row>
    <row r="214" spans="1:9" ht="16.5" x14ac:dyDescent="0.3">
      <c r="A214" s="87" t="e">
        <f>#REF!</f>
        <v>#REF!</v>
      </c>
      <c r="B214" s="120"/>
      <c r="C214" s="96" t="s">
        <v>67</v>
      </c>
      <c r="D214" s="96"/>
      <c r="E214" s="96"/>
      <c r="F214" s="120"/>
      <c r="G214" s="120"/>
      <c r="H214" s="120"/>
      <c r="I214" s="87"/>
    </row>
    <row r="215" spans="1:9" ht="16.5" x14ac:dyDescent="0.3">
      <c r="A215" s="96"/>
      <c r="B215" s="87"/>
      <c r="C215" s="87"/>
      <c r="D215" s="87"/>
      <c r="E215" s="87"/>
      <c r="F215" s="99"/>
      <c r="G215" s="100"/>
      <c r="H215" s="100"/>
      <c r="I215" s="87"/>
    </row>
    <row r="216" spans="1:9" ht="16.5" x14ac:dyDescent="0.3">
      <c r="A216" s="40" t="str">
        <f>Dist2</f>
        <v>blank</v>
      </c>
      <c r="B216" s="87"/>
      <c r="C216" s="87"/>
      <c r="D216" s="87"/>
      <c r="E216" s="87"/>
      <c r="F216" s="38"/>
      <c r="G216" s="87"/>
      <c r="H216" s="87"/>
      <c r="I216" s="87"/>
    </row>
    <row r="217" spans="1:9" ht="16.5" x14ac:dyDescent="0.3">
      <c r="A217" s="87" t="e">
        <f>#REF!</f>
        <v>#REF!</v>
      </c>
      <c r="B217" s="120"/>
      <c r="C217" s="96" t="s">
        <v>67</v>
      </c>
      <c r="D217" s="96"/>
      <c r="E217" s="96"/>
      <c r="F217" s="120"/>
      <c r="G217" s="120"/>
      <c r="H217" s="120"/>
      <c r="I217" s="87"/>
    </row>
    <row r="218" spans="1:9" ht="16.5" x14ac:dyDescent="0.3">
      <c r="A218" s="87" t="e">
        <f>#REF!</f>
        <v>#REF!</v>
      </c>
      <c r="B218" s="120"/>
      <c r="C218" s="96" t="s">
        <v>67</v>
      </c>
      <c r="D218" s="96"/>
      <c r="E218" s="96"/>
      <c r="F218" s="120"/>
      <c r="G218" s="120"/>
      <c r="H218" s="120"/>
      <c r="I218" s="87"/>
    </row>
    <row r="219" spans="1:9" ht="16.5" x14ac:dyDescent="0.3">
      <c r="A219" s="87" t="e">
        <f>#REF!</f>
        <v>#REF!</v>
      </c>
      <c r="B219" s="120"/>
      <c r="C219" s="96" t="s">
        <v>67</v>
      </c>
      <c r="D219" s="96"/>
      <c r="E219" s="96"/>
      <c r="F219" s="120"/>
      <c r="G219" s="120"/>
      <c r="H219" s="120"/>
      <c r="I219" s="87"/>
    </row>
    <row r="220" spans="1:9" ht="16.5" x14ac:dyDescent="0.3">
      <c r="A220" s="87" t="e">
        <f>#REF!</f>
        <v>#REF!</v>
      </c>
      <c r="B220" s="120"/>
      <c r="C220" s="96" t="s">
        <v>67</v>
      </c>
      <c r="D220" s="96"/>
      <c r="E220" s="96"/>
      <c r="F220" s="120"/>
      <c r="G220" s="120"/>
      <c r="H220" s="120"/>
      <c r="I220" s="87"/>
    </row>
    <row r="221" spans="1:9" ht="16.5" x14ac:dyDescent="0.3">
      <c r="A221" s="101"/>
      <c r="B221" s="96"/>
      <c r="C221" s="96"/>
      <c r="D221" s="96"/>
      <c r="E221" s="87"/>
      <c r="F221" s="38"/>
      <c r="G221" s="87"/>
      <c r="H221" s="87"/>
      <c r="I221" s="87"/>
    </row>
    <row r="222" spans="1:9" ht="16.5" x14ac:dyDescent="0.3">
      <c r="A222" s="97" t="str">
        <f>Dist3</f>
        <v>blank</v>
      </c>
      <c r="B222" s="96"/>
      <c r="C222" s="96"/>
      <c r="D222" s="96"/>
      <c r="E222" s="96"/>
      <c r="F222" s="38"/>
      <c r="G222" s="96"/>
      <c r="H222" s="96"/>
      <c r="I222" s="87"/>
    </row>
    <row r="223" spans="1:9" ht="16.5" x14ac:dyDescent="0.3">
      <c r="A223" s="87" t="e">
        <f>#REF!</f>
        <v>#REF!</v>
      </c>
      <c r="B223" s="120"/>
      <c r="C223" s="96" t="s">
        <v>67</v>
      </c>
      <c r="D223" s="96"/>
      <c r="E223" s="96"/>
      <c r="F223" s="120"/>
      <c r="G223" s="120"/>
      <c r="H223" s="120"/>
      <c r="I223" s="87"/>
    </row>
    <row r="224" spans="1:9" ht="16.5" x14ac:dyDescent="0.3">
      <c r="A224" s="87" t="e">
        <f>#REF!</f>
        <v>#REF!</v>
      </c>
      <c r="B224" s="120"/>
      <c r="C224" s="96" t="s">
        <v>67</v>
      </c>
      <c r="D224" s="96"/>
      <c r="E224" s="96"/>
      <c r="F224" s="120"/>
      <c r="G224" s="120"/>
      <c r="H224" s="120"/>
      <c r="I224" s="87"/>
    </row>
    <row r="225" spans="1:9" ht="16.5" x14ac:dyDescent="0.3">
      <c r="A225" s="87" t="e">
        <f>#REF!</f>
        <v>#REF!</v>
      </c>
      <c r="B225" s="120"/>
      <c r="C225" s="96" t="s">
        <v>67</v>
      </c>
      <c r="D225" s="96"/>
      <c r="E225" s="96"/>
      <c r="F225" s="120"/>
      <c r="G225" s="120"/>
      <c r="H225" s="120"/>
      <c r="I225" s="87"/>
    </row>
    <row r="226" spans="1:9" ht="16.5" x14ac:dyDescent="0.3">
      <c r="A226" s="87" t="e">
        <f>#REF!</f>
        <v>#REF!</v>
      </c>
      <c r="B226" s="120"/>
      <c r="C226" s="96" t="s">
        <v>67</v>
      </c>
      <c r="D226" s="96"/>
      <c r="E226" s="96"/>
      <c r="F226" s="120"/>
      <c r="G226" s="120"/>
      <c r="H226" s="120"/>
      <c r="I226" s="87"/>
    </row>
    <row r="227" spans="1:9" ht="16.5" x14ac:dyDescent="0.3">
      <c r="A227" s="87"/>
      <c r="B227" s="87"/>
      <c r="C227" s="87"/>
      <c r="D227" s="87"/>
      <c r="E227" s="87"/>
      <c r="F227" s="38"/>
      <c r="G227" s="87"/>
      <c r="H227" s="87"/>
      <c r="I227" s="87"/>
    </row>
    <row r="228" spans="1:9" ht="16.5" x14ac:dyDescent="0.3">
      <c r="A228" s="97" t="str">
        <f>Dist4</f>
        <v>blank</v>
      </c>
      <c r="B228" s="96"/>
      <c r="C228" s="96"/>
      <c r="D228" s="96"/>
      <c r="E228" s="96"/>
      <c r="F228" s="98"/>
      <c r="G228" s="96"/>
      <c r="H228" s="96"/>
      <c r="I228" s="87"/>
    </row>
    <row r="229" spans="1:9" ht="16.5" x14ac:dyDescent="0.3">
      <c r="A229" s="87" t="e">
        <f>#REF!</f>
        <v>#REF!</v>
      </c>
      <c r="B229" s="120"/>
      <c r="C229" s="96" t="s">
        <v>67</v>
      </c>
      <c r="D229" s="96"/>
      <c r="E229" s="96"/>
      <c r="F229" s="120"/>
      <c r="G229" s="120"/>
      <c r="H229" s="120"/>
      <c r="I229" s="87"/>
    </row>
    <row r="230" spans="1:9" ht="16.5" x14ac:dyDescent="0.3">
      <c r="A230" s="87" t="e">
        <f>#REF!</f>
        <v>#REF!</v>
      </c>
      <c r="B230" s="120"/>
      <c r="C230" s="96" t="s">
        <v>67</v>
      </c>
      <c r="D230" s="96"/>
      <c r="E230" s="96"/>
      <c r="F230" s="120"/>
      <c r="G230" s="120"/>
      <c r="H230" s="120"/>
      <c r="I230" s="87"/>
    </row>
    <row r="231" spans="1:9" ht="16.5" x14ac:dyDescent="0.3">
      <c r="A231" s="87" t="e">
        <f>#REF!</f>
        <v>#REF!</v>
      </c>
      <c r="B231" s="120"/>
      <c r="C231" s="96" t="s">
        <v>67</v>
      </c>
      <c r="D231" s="96"/>
      <c r="E231" s="96"/>
      <c r="F231" s="120"/>
      <c r="G231" s="120"/>
      <c r="H231" s="120"/>
      <c r="I231" s="87"/>
    </row>
    <row r="232" spans="1:9" ht="16.5" x14ac:dyDescent="0.3">
      <c r="A232" s="87" t="e">
        <f>#REF!</f>
        <v>#REF!</v>
      </c>
      <c r="B232" s="120"/>
      <c r="C232" s="96" t="s">
        <v>67</v>
      </c>
      <c r="D232" s="96"/>
      <c r="E232" s="96"/>
      <c r="F232" s="120"/>
      <c r="G232" s="120"/>
      <c r="H232" s="120"/>
      <c r="I232" s="87"/>
    </row>
    <row r="233" spans="1:9" ht="16.5" x14ac:dyDescent="0.3">
      <c r="A233" s="87"/>
      <c r="B233" s="87"/>
      <c r="C233" s="87"/>
      <c r="D233" s="87"/>
      <c r="E233" s="87"/>
      <c r="F233" s="38"/>
      <c r="G233" s="87"/>
      <c r="H233" s="87"/>
      <c r="I233" s="87"/>
    </row>
    <row r="234" spans="1:9" ht="16.5" x14ac:dyDescent="0.3">
      <c r="A234" s="97" t="str">
        <f>Dist5</f>
        <v>blank</v>
      </c>
      <c r="B234" s="96"/>
      <c r="C234" s="96"/>
      <c r="D234" s="96"/>
      <c r="E234" s="96"/>
      <c r="F234" s="98"/>
      <c r="G234" s="96"/>
      <c r="H234" s="96"/>
      <c r="I234" s="87"/>
    </row>
    <row r="235" spans="1:9" ht="16.5" x14ac:dyDescent="0.3">
      <c r="A235" s="87" t="e">
        <f>#REF!</f>
        <v>#REF!</v>
      </c>
      <c r="B235" s="120"/>
      <c r="C235" s="96" t="s">
        <v>67</v>
      </c>
      <c r="D235" s="96"/>
      <c r="E235" s="96"/>
      <c r="F235" s="120"/>
      <c r="G235" s="120"/>
      <c r="H235" s="120"/>
      <c r="I235" s="87"/>
    </row>
    <row r="236" spans="1:9" ht="16.5" x14ac:dyDescent="0.3">
      <c r="A236" s="87" t="e">
        <f>#REF!</f>
        <v>#REF!</v>
      </c>
      <c r="B236" s="120"/>
      <c r="C236" s="96" t="s">
        <v>67</v>
      </c>
      <c r="D236" s="96"/>
      <c r="E236" s="96"/>
      <c r="F236" s="120"/>
      <c r="G236" s="120"/>
      <c r="H236" s="120"/>
      <c r="I236" s="87"/>
    </row>
    <row r="237" spans="1:9" ht="16.5" x14ac:dyDescent="0.3">
      <c r="A237" s="87" t="e">
        <f>#REF!</f>
        <v>#REF!</v>
      </c>
      <c r="B237" s="120"/>
      <c r="C237" s="96" t="s">
        <v>67</v>
      </c>
      <c r="D237" s="96"/>
      <c r="E237" s="96"/>
      <c r="F237" s="120"/>
      <c r="G237" s="120"/>
      <c r="H237" s="120"/>
      <c r="I237" s="87"/>
    </row>
    <row r="238" spans="1:9" ht="16.5" x14ac:dyDescent="0.3">
      <c r="A238" s="87" t="e">
        <f>#REF!</f>
        <v>#REF!</v>
      </c>
      <c r="B238" s="120"/>
      <c r="C238" s="96" t="s">
        <v>67</v>
      </c>
      <c r="D238" s="96"/>
      <c r="E238" s="96"/>
      <c r="F238" s="120"/>
      <c r="G238" s="120"/>
      <c r="H238" s="120"/>
      <c r="I238" s="87"/>
    </row>
    <row r="239" spans="1:9" ht="16.5" x14ac:dyDescent="0.3">
      <c r="A239" s="87"/>
      <c r="B239" s="96"/>
      <c r="C239" s="96"/>
      <c r="D239" s="96"/>
      <c r="E239" s="96"/>
      <c r="F239" s="41"/>
      <c r="G239" s="41"/>
      <c r="H239" s="41"/>
      <c r="I239" s="41"/>
    </row>
    <row r="240" spans="1:9" ht="16.5" x14ac:dyDescent="0.3">
      <c r="A240" s="32" t="s">
        <v>16</v>
      </c>
      <c r="B240" s="96"/>
      <c r="C240" s="96"/>
      <c r="D240" s="96"/>
      <c r="E240" s="96"/>
      <c r="F240" s="41"/>
      <c r="G240" s="41"/>
      <c r="H240" s="41"/>
      <c r="I240" s="87"/>
    </row>
    <row r="241" spans="1:9" ht="16.5" x14ac:dyDescent="0.3">
      <c r="A241" s="97" t="str">
        <f>Dist1</f>
        <v>Northern Territory</v>
      </c>
      <c r="B241" s="96"/>
      <c r="C241" s="96"/>
      <c r="D241" s="96"/>
      <c r="E241" s="96"/>
      <c r="F241" s="100"/>
      <c r="G241" s="100"/>
      <c r="H241" s="100"/>
      <c r="I241" s="87"/>
    </row>
    <row r="242" spans="1:9" ht="16.5" x14ac:dyDescent="0.3">
      <c r="A242" s="87" t="e">
        <f>#REF!</f>
        <v>#REF!</v>
      </c>
      <c r="B242" s="120"/>
      <c r="C242" s="96" t="s">
        <v>67</v>
      </c>
      <c r="D242" s="96"/>
      <c r="E242" s="96"/>
      <c r="F242" s="120"/>
      <c r="G242" s="120"/>
      <c r="H242" s="120"/>
      <c r="I242" s="87"/>
    </row>
    <row r="243" spans="1:9" ht="16.5" x14ac:dyDescent="0.3">
      <c r="A243" s="87" t="e">
        <f>#REF!</f>
        <v>#REF!</v>
      </c>
      <c r="B243" s="120"/>
      <c r="C243" s="96" t="s">
        <v>67</v>
      </c>
      <c r="D243" s="96"/>
      <c r="E243" s="96"/>
      <c r="F243" s="120"/>
      <c r="G243" s="120"/>
      <c r="H243" s="120"/>
      <c r="I243" s="87"/>
    </row>
    <row r="244" spans="1:9" ht="16.5" x14ac:dyDescent="0.3">
      <c r="A244" s="87" t="e">
        <f>#REF!</f>
        <v>#REF!</v>
      </c>
      <c r="B244" s="88" t="s">
        <v>37</v>
      </c>
      <c r="C244" s="96" t="s">
        <v>67</v>
      </c>
      <c r="D244" s="96"/>
      <c r="E244" s="96"/>
      <c r="F244" s="102">
        <f>F242</f>
        <v>0</v>
      </c>
      <c r="G244" s="102">
        <f>G242</f>
        <v>0</v>
      </c>
      <c r="H244" s="102">
        <f t="shared" ref="G244:H245" si="32">H242</f>
        <v>0</v>
      </c>
      <c r="I244" s="87"/>
    </row>
    <row r="245" spans="1:9" ht="16.5" x14ac:dyDescent="0.3">
      <c r="A245" s="87" t="e">
        <f>#REF!</f>
        <v>#REF!</v>
      </c>
      <c r="B245" s="88" t="s">
        <v>37</v>
      </c>
      <c r="C245" s="96" t="s">
        <v>67</v>
      </c>
      <c r="D245" s="96"/>
      <c r="E245" s="96"/>
      <c r="F245" s="102">
        <f t="shared" ref="F245" si="33">F243</f>
        <v>0</v>
      </c>
      <c r="G245" s="102">
        <f t="shared" si="32"/>
        <v>0</v>
      </c>
      <c r="H245" s="102">
        <f t="shared" si="32"/>
        <v>0</v>
      </c>
      <c r="I245" s="87"/>
    </row>
    <row r="246" spans="1:9" ht="16.5" x14ac:dyDescent="0.3">
      <c r="A246" s="87"/>
      <c r="B246" s="96"/>
      <c r="C246" s="96"/>
      <c r="D246" s="96"/>
      <c r="E246" s="96"/>
      <c r="F246" s="96"/>
      <c r="G246" s="96"/>
      <c r="H246" s="96"/>
      <c r="I246" s="87"/>
    </row>
    <row r="247" spans="1:9" ht="16.5" x14ac:dyDescent="0.3">
      <c r="A247" s="97" t="str">
        <f>Dist2</f>
        <v>blank</v>
      </c>
      <c r="B247" s="96"/>
      <c r="C247" s="96"/>
      <c r="D247" s="96"/>
      <c r="E247" s="96"/>
      <c r="F247" s="100"/>
      <c r="G247" s="100"/>
      <c r="H247" s="100"/>
      <c r="I247" s="87"/>
    </row>
    <row r="248" spans="1:9" ht="16.5" x14ac:dyDescent="0.3">
      <c r="A248" s="87" t="e">
        <f>#REF!</f>
        <v>#REF!</v>
      </c>
      <c r="B248" s="120"/>
      <c r="C248" s="96" t="s">
        <v>67</v>
      </c>
      <c r="D248" s="96"/>
      <c r="E248" s="96"/>
      <c r="F248" s="120"/>
      <c r="G248" s="120"/>
      <c r="H248" s="120"/>
      <c r="I248" s="87"/>
    </row>
    <row r="249" spans="1:9" ht="16.5" x14ac:dyDescent="0.3">
      <c r="A249" s="87" t="e">
        <f>#REF!</f>
        <v>#REF!</v>
      </c>
      <c r="B249" s="120"/>
      <c r="C249" s="96" t="s">
        <v>67</v>
      </c>
      <c r="D249" s="96"/>
      <c r="E249" s="96"/>
      <c r="F249" s="120"/>
      <c r="G249" s="120"/>
      <c r="H249" s="120"/>
      <c r="I249" s="87"/>
    </row>
    <row r="250" spans="1:9" ht="16.5" x14ac:dyDescent="0.3">
      <c r="A250" s="87" t="e">
        <f>#REF!</f>
        <v>#REF!</v>
      </c>
      <c r="B250" s="88" t="s">
        <v>37</v>
      </c>
      <c r="C250" s="96" t="s">
        <v>67</v>
      </c>
      <c r="D250" s="96"/>
      <c r="E250" s="96"/>
      <c r="F250" s="102">
        <f t="shared" ref="F250:H251" si="34">F248</f>
        <v>0</v>
      </c>
      <c r="G250" s="102">
        <f t="shared" si="34"/>
        <v>0</v>
      </c>
      <c r="H250" s="102">
        <f t="shared" si="34"/>
        <v>0</v>
      </c>
      <c r="I250" s="87"/>
    </row>
    <row r="251" spans="1:9" ht="16.5" x14ac:dyDescent="0.3">
      <c r="A251" s="87" t="e">
        <f>#REF!</f>
        <v>#REF!</v>
      </c>
      <c r="B251" s="88" t="s">
        <v>37</v>
      </c>
      <c r="C251" s="96" t="s">
        <v>67</v>
      </c>
      <c r="D251" s="96"/>
      <c r="E251" s="96"/>
      <c r="F251" s="102">
        <f t="shared" si="34"/>
        <v>0</v>
      </c>
      <c r="G251" s="102">
        <f t="shared" si="34"/>
        <v>0</v>
      </c>
      <c r="H251" s="102">
        <f t="shared" si="34"/>
        <v>0</v>
      </c>
      <c r="I251" s="87"/>
    </row>
    <row r="252" spans="1:9" ht="16.5" x14ac:dyDescent="0.3">
      <c r="A252" s="87"/>
      <c r="B252" s="96"/>
      <c r="C252" s="96"/>
      <c r="D252" s="96"/>
      <c r="E252" s="96"/>
      <c r="F252" s="100"/>
      <c r="G252" s="42"/>
      <c r="H252" s="42"/>
      <c r="I252" s="87"/>
    </row>
    <row r="253" spans="1:9" ht="16.5" x14ac:dyDescent="0.3">
      <c r="A253" s="97" t="str">
        <f>Dist3</f>
        <v>blank</v>
      </c>
      <c r="B253" s="96"/>
      <c r="C253" s="96"/>
      <c r="D253" s="96"/>
      <c r="E253" s="96"/>
      <c r="F253" s="100"/>
      <c r="G253" s="100"/>
      <c r="H253" s="100"/>
      <c r="I253" s="87"/>
    </row>
    <row r="254" spans="1:9" ht="16.5" x14ac:dyDescent="0.3">
      <c r="A254" s="87" t="e">
        <f>#REF!</f>
        <v>#REF!</v>
      </c>
      <c r="B254" s="120"/>
      <c r="C254" s="96" t="s">
        <v>67</v>
      </c>
      <c r="D254" s="96"/>
      <c r="E254" s="96"/>
      <c r="F254" s="120"/>
      <c r="G254" s="120"/>
      <c r="H254" s="120"/>
      <c r="I254" s="87"/>
    </row>
    <row r="255" spans="1:9" ht="16.5" x14ac:dyDescent="0.3">
      <c r="A255" s="87" t="e">
        <f>#REF!</f>
        <v>#REF!</v>
      </c>
      <c r="B255" s="120"/>
      <c r="C255" s="96" t="s">
        <v>67</v>
      </c>
      <c r="D255" s="96"/>
      <c r="E255" s="96"/>
      <c r="F255" s="120"/>
      <c r="G255" s="120"/>
      <c r="H255" s="120"/>
      <c r="I255" s="87"/>
    </row>
    <row r="256" spans="1:9" ht="16.5" x14ac:dyDescent="0.3">
      <c r="A256" s="87" t="e">
        <f>#REF!</f>
        <v>#REF!</v>
      </c>
      <c r="B256" s="88" t="s">
        <v>37</v>
      </c>
      <c r="C256" s="96" t="s">
        <v>67</v>
      </c>
      <c r="D256" s="96"/>
      <c r="E256" s="96"/>
      <c r="F256" s="102">
        <f t="shared" ref="F256:H257" si="35">F254</f>
        <v>0</v>
      </c>
      <c r="G256" s="102">
        <f t="shared" si="35"/>
        <v>0</v>
      </c>
      <c r="H256" s="102">
        <f t="shared" si="35"/>
        <v>0</v>
      </c>
      <c r="I256" s="87"/>
    </row>
    <row r="257" spans="1:9" ht="16.5" x14ac:dyDescent="0.3">
      <c r="A257" s="87" t="e">
        <f>#REF!</f>
        <v>#REF!</v>
      </c>
      <c r="B257" s="88" t="s">
        <v>37</v>
      </c>
      <c r="C257" s="96" t="s">
        <v>67</v>
      </c>
      <c r="D257" s="96"/>
      <c r="E257" s="96"/>
      <c r="F257" s="102">
        <f t="shared" si="35"/>
        <v>0</v>
      </c>
      <c r="G257" s="102">
        <f t="shared" si="35"/>
        <v>0</v>
      </c>
      <c r="H257" s="102">
        <f t="shared" si="35"/>
        <v>0</v>
      </c>
      <c r="I257" s="87"/>
    </row>
    <row r="258" spans="1:9" ht="16.5" x14ac:dyDescent="0.3">
      <c r="A258" s="87"/>
      <c r="B258" s="96"/>
      <c r="C258" s="96"/>
      <c r="D258" s="96"/>
      <c r="E258" s="96"/>
      <c r="F258" s="100"/>
      <c r="G258" s="42"/>
      <c r="H258" s="42"/>
      <c r="I258" s="87"/>
    </row>
    <row r="259" spans="1:9" ht="16.5" x14ac:dyDescent="0.3">
      <c r="A259" s="97" t="str">
        <f>Dist4</f>
        <v>blank</v>
      </c>
      <c r="B259" s="96"/>
      <c r="C259" s="96"/>
      <c r="D259" s="96"/>
      <c r="E259" s="96"/>
      <c r="F259" s="100"/>
      <c r="G259" s="100"/>
      <c r="H259" s="100"/>
      <c r="I259" s="87"/>
    </row>
    <row r="260" spans="1:9" ht="16.5" x14ac:dyDescent="0.3">
      <c r="A260" s="87" t="e">
        <f>#REF!</f>
        <v>#REF!</v>
      </c>
      <c r="B260" s="120"/>
      <c r="C260" s="96" t="s">
        <v>67</v>
      </c>
      <c r="D260" s="96"/>
      <c r="E260" s="96"/>
      <c r="F260" s="120"/>
      <c r="G260" s="120"/>
      <c r="H260" s="120"/>
      <c r="I260" s="87"/>
    </row>
    <row r="261" spans="1:9" ht="16.5" x14ac:dyDescent="0.3">
      <c r="A261" s="87" t="e">
        <f>#REF!</f>
        <v>#REF!</v>
      </c>
      <c r="B261" s="120"/>
      <c r="C261" s="96" t="s">
        <v>67</v>
      </c>
      <c r="D261" s="96"/>
      <c r="E261" s="96"/>
      <c r="F261" s="120"/>
      <c r="G261" s="120"/>
      <c r="H261" s="120"/>
      <c r="I261" s="87"/>
    </row>
    <row r="262" spans="1:9" ht="16.5" x14ac:dyDescent="0.3">
      <c r="A262" s="87" t="e">
        <f>#REF!</f>
        <v>#REF!</v>
      </c>
      <c r="B262" s="88" t="s">
        <v>37</v>
      </c>
      <c r="C262" s="96" t="s">
        <v>67</v>
      </c>
      <c r="D262" s="96"/>
      <c r="E262" s="96"/>
      <c r="F262" s="102">
        <f t="shared" ref="F262:H263" si="36">F260</f>
        <v>0</v>
      </c>
      <c r="G262" s="102">
        <f>G260</f>
        <v>0</v>
      </c>
      <c r="H262" s="102">
        <f>H260</f>
        <v>0</v>
      </c>
      <c r="I262" s="87"/>
    </row>
    <row r="263" spans="1:9" ht="16.5" x14ac:dyDescent="0.3">
      <c r="A263" s="87" t="e">
        <f>#REF!</f>
        <v>#REF!</v>
      </c>
      <c r="B263" s="88" t="s">
        <v>37</v>
      </c>
      <c r="C263" s="96" t="s">
        <v>67</v>
      </c>
      <c r="D263" s="96"/>
      <c r="E263" s="96"/>
      <c r="F263" s="102">
        <f t="shared" si="36"/>
        <v>0</v>
      </c>
      <c r="G263" s="102">
        <f t="shared" si="36"/>
        <v>0</v>
      </c>
      <c r="H263" s="102">
        <f t="shared" si="36"/>
        <v>0</v>
      </c>
      <c r="I263" s="87"/>
    </row>
    <row r="264" spans="1:9" ht="16.5" x14ac:dyDescent="0.3">
      <c r="A264" s="87"/>
      <c r="B264" s="96"/>
      <c r="C264" s="96"/>
      <c r="D264" s="96"/>
      <c r="E264" s="96"/>
      <c r="F264" s="100"/>
      <c r="G264" s="42"/>
      <c r="H264" s="42"/>
      <c r="I264" s="87"/>
    </row>
    <row r="265" spans="1:9" ht="16.5" x14ac:dyDescent="0.3">
      <c r="A265" s="97" t="str">
        <f>Dist5</f>
        <v>blank</v>
      </c>
      <c r="B265" s="96"/>
      <c r="C265" s="96"/>
      <c r="D265" s="96"/>
      <c r="E265" s="96"/>
      <c r="F265" s="100"/>
      <c r="G265" s="100"/>
      <c r="H265" s="100"/>
      <c r="I265" s="87"/>
    </row>
    <row r="266" spans="1:9" ht="16.5" x14ac:dyDescent="0.3">
      <c r="A266" s="87" t="e">
        <f>#REF!</f>
        <v>#REF!</v>
      </c>
      <c r="B266" s="120"/>
      <c r="C266" s="96" t="s">
        <v>67</v>
      </c>
      <c r="D266" s="96"/>
      <c r="E266" s="96"/>
      <c r="F266" s="120"/>
      <c r="G266" s="120"/>
      <c r="H266" s="120"/>
      <c r="I266" s="87"/>
    </row>
    <row r="267" spans="1:9" ht="16.5" x14ac:dyDescent="0.3">
      <c r="A267" s="87" t="e">
        <f>#REF!</f>
        <v>#REF!</v>
      </c>
      <c r="B267" s="120"/>
      <c r="C267" s="96" t="s">
        <v>67</v>
      </c>
      <c r="D267" s="96"/>
      <c r="E267" s="96"/>
      <c r="F267" s="120"/>
      <c r="G267" s="120"/>
      <c r="H267" s="120"/>
      <c r="I267" s="87"/>
    </row>
    <row r="268" spans="1:9" ht="16.5" x14ac:dyDescent="0.3">
      <c r="A268" s="87" t="e">
        <f>#REF!</f>
        <v>#REF!</v>
      </c>
      <c r="B268" s="88" t="s">
        <v>37</v>
      </c>
      <c r="C268" s="96" t="s">
        <v>67</v>
      </c>
      <c r="D268" s="96"/>
      <c r="E268" s="96"/>
      <c r="F268" s="102">
        <f t="shared" ref="F268:H269" si="37">F266</f>
        <v>0</v>
      </c>
      <c r="G268" s="102">
        <f>G266</f>
        <v>0</v>
      </c>
      <c r="H268" s="102">
        <f>H266</f>
        <v>0</v>
      </c>
      <c r="I268" s="87"/>
    </row>
    <row r="269" spans="1:9" ht="16.5" x14ac:dyDescent="0.3">
      <c r="A269" s="87" t="e">
        <f>#REF!</f>
        <v>#REF!</v>
      </c>
      <c r="B269" s="88" t="s">
        <v>37</v>
      </c>
      <c r="C269" s="96" t="s">
        <v>67</v>
      </c>
      <c r="D269" s="96"/>
      <c r="E269" s="96"/>
      <c r="F269" s="102">
        <f t="shared" si="37"/>
        <v>0</v>
      </c>
      <c r="G269" s="102">
        <f t="shared" si="37"/>
        <v>0</v>
      </c>
      <c r="H269" s="102">
        <f t="shared" si="37"/>
        <v>0</v>
      </c>
      <c r="I269" s="87"/>
    </row>
    <row r="270" spans="1:9" ht="16.5" x14ac:dyDescent="0.3">
      <c r="A270" s="96"/>
      <c r="B270" s="87"/>
      <c r="C270" s="87"/>
      <c r="D270" s="87"/>
      <c r="E270" s="87"/>
      <c r="F270" s="100"/>
      <c r="G270" s="100"/>
      <c r="H270" s="100"/>
      <c r="I270" s="87"/>
    </row>
    <row r="271" spans="1:9" ht="16.5" x14ac:dyDescent="0.3">
      <c r="A271" s="93" t="s">
        <v>17</v>
      </c>
      <c r="B271" s="87"/>
      <c r="C271" s="87"/>
      <c r="D271" s="87"/>
      <c r="E271" s="87"/>
      <c r="F271" s="100"/>
      <c r="G271" s="100"/>
      <c r="H271" s="100"/>
      <c r="I271" s="87"/>
    </row>
    <row r="272" spans="1:9" ht="16.5" x14ac:dyDescent="0.3">
      <c r="A272" s="40" t="str">
        <f>Dist1</f>
        <v>Northern Territory</v>
      </c>
      <c r="B272" s="120"/>
      <c r="C272" s="96" t="s">
        <v>67</v>
      </c>
      <c r="D272" s="96"/>
      <c r="E272" s="96"/>
      <c r="F272" s="120"/>
      <c r="G272" s="120"/>
      <c r="H272" s="120"/>
      <c r="I272" s="87"/>
    </row>
    <row r="273" spans="1:9" ht="16.5" x14ac:dyDescent="0.3">
      <c r="A273" s="40" t="str">
        <f>Dist2</f>
        <v>blank</v>
      </c>
      <c r="B273" s="120"/>
      <c r="C273" s="96" t="s">
        <v>67</v>
      </c>
      <c r="D273" s="96"/>
      <c r="E273" s="96"/>
      <c r="F273" s="120"/>
      <c r="G273" s="120"/>
      <c r="H273" s="120"/>
      <c r="I273" s="87"/>
    </row>
    <row r="274" spans="1:9" ht="16.5" x14ac:dyDescent="0.3">
      <c r="A274" s="40" t="str">
        <f>Dist3</f>
        <v>blank</v>
      </c>
      <c r="B274" s="120"/>
      <c r="C274" s="96" t="s">
        <v>67</v>
      </c>
      <c r="D274" s="96"/>
      <c r="E274" s="96"/>
      <c r="F274" s="120"/>
      <c r="G274" s="120"/>
      <c r="H274" s="120"/>
      <c r="I274" s="87"/>
    </row>
    <row r="275" spans="1:9" ht="16.5" x14ac:dyDescent="0.3">
      <c r="A275" s="40" t="str">
        <f>Dist4</f>
        <v>blank</v>
      </c>
      <c r="B275" s="120"/>
      <c r="C275" s="96" t="s">
        <v>67</v>
      </c>
      <c r="D275" s="96"/>
      <c r="E275" s="96"/>
      <c r="F275" s="120"/>
      <c r="G275" s="120"/>
      <c r="H275" s="120"/>
      <c r="I275" s="87"/>
    </row>
    <row r="276" spans="1:9" ht="16.5" x14ac:dyDescent="0.3">
      <c r="A276" s="40" t="str">
        <f>Dist5</f>
        <v>blank</v>
      </c>
      <c r="B276" s="120"/>
      <c r="C276" s="96" t="s">
        <v>67</v>
      </c>
      <c r="D276" s="96"/>
      <c r="E276" s="96"/>
      <c r="F276" s="120"/>
      <c r="G276" s="120"/>
      <c r="H276" s="120"/>
      <c r="I276" s="87"/>
    </row>
    <row r="277" spans="1:9" ht="16.5" x14ac:dyDescent="0.3">
      <c r="A277" s="40"/>
      <c r="B277" s="96"/>
      <c r="C277" s="96"/>
      <c r="D277" s="96"/>
      <c r="E277" s="96"/>
      <c r="F277" s="96"/>
      <c r="G277" s="96"/>
      <c r="H277" s="96"/>
      <c r="I277" s="96"/>
    </row>
    <row r="278" spans="1:9" ht="16.5" x14ac:dyDescent="0.3">
      <c r="A278" s="93" t="str">
        <f>Scheme1</f>
        <v>blank</v>
      </c>
      <c r="B278" s="87"/>
      <c r="C278" s="87"/>
      <c r="D278" s="87"/>
      <c r="E278" s="87"/>
      <c r="F278" s="100"/>
      <c r="G278" s="100"/>
      <c r="H278" s="100"/>
      <c r="I278" s="87"/>
    </row>
    <row r="279" spans="1:9" ht="16.5" x14ac:dyDescent="0.3">
      <c r="A279" s="40" t="str">
        <f>Dist1</f>
        <v>Northern Territory</v>
      </c>
      <c r="B279" s="96"/>
      <c r="C279" s="87"/>
      <c r="D279" s="96"/>
      <c r="E279" s="96"/>
      <c r="F279" s="100"/>
      <c r="G279" s="100"/>
      <c r="H279" s="100"/>
      <c r="I279" s="87"/>
    </row>
    <row r="280" spans="1:9" ht="16.5" x14ac:dyDescent="0.3">
      <c r="A280" s="87" t="e">
        <f>#REF!</f>
        <v>#REF!</v>
      </c>
      <c r="B280" s="120"/>
      <c r="C280" s="96" t="s">
        <v>67</v>
      </c>
      <c r="D280" s="96"/>
      <c r="E280" s="96"/>
      <c r="F280" s="120"/>
      <c r="G280" s="120"/>
      <c r="H280" s="120"/>
      <c r="I280" s="87"/>
    </row>
    <row r="281" spans="1:9" ht="16.5" x14ac:dyDescent="0.3">
      <c r="A281" s="87" t="e">
        <f>#REF!</f>
        <v>#REF!</v>
      </c>
      <c r="B281" s="120"/>
      <c r="C281" s="96" t="s">
        <v>67</v>
      </c>
      <c r="D281" s="96"/>
      <c r="E281" s="96"/>
      <c r="F281" s="120"/>
      <c r="G281" s="120"/>
      <c r="H281" s="120"/>
      <c r="I281" s="87"/>
    </row>
    <row r="282" spans="1:9" ht="16.5" x14ac:dyDescent="0.3">
      <c r="A282" s="87" t="e">
        <f>#REF!</f>
        <v>#REF!</v>
      </c>
      <c r="B282" s="120"/>
      <c r="C282" s="96" t="s">
        <v>67</v>
      </c>
      <c r="D282" s="96"/>
      <c r="E282" s="96"/>
      <c r="F282" s="120"/>
      <c r="G282" s="120"/>
      <c r="H282" s="120"/>
      <c r="I282" s="87"/>
    </row>
    <row r="283" spans="1:9" ht="16.5" x14ac:dyDescent="0.3">
      <c r="A283" s="87" t="e">
        <f>#REF!</f>
        <v>#REF!</v>
      </c>
      <c r="B283" s="120"/>
      <c r="C283" s="96" t="s">
        <v>67</v>
      </c>
      <c r="D283" s="96"/>
      <c r="E283" s="96"/>
      <c r="F283" s="120"/>
      <c r="G283" s="120"/>
      <c r="H283" s="120"/>
      <c r="I283" s="87"/>
    </row>
    <row r="284" spans="1:9" ht="16.5" x14ac:dyDescent="0.3">
      <c r="A284" s="40"/>
      <c r="B284" s="96"/>
      <c r="C284" s="96"/>
      <c r="D284" s="96"/>
      <c r="E284" s="96"/>
      <c r="F284" s="100"/>
      <c r="G284" s="100"/>
      <c r="H284" s="100"/>
      <c r="I284" s="87"/>
    </row>
    <row r="285" spans="1:9" ht="16.5" x14ac:dyDescent="0.3">
      <c r="A285" s="40" t="str">
        <f>Dist2</f>
        <v>blank</v>
      </c>
      <c r="B285" s="96"/>
      <c r="C285" s="87"/>
      <c r="D285" s="96"/>
      <c r="E285" s="96"/>
      <c r="F285" s="100"/>
      <c r="G285" s="100"/>
      <c r="H285" s="100"/>
      <c r="I285" s="87"/>
    </row>
    <row r="286" spans="1:9" ht="16.5" x14ac:dyDescent="0.3">
      <c r="A286" s="87" t="e">
        <f>#REF!</f>
        <v>#REF!</v>
      </c>
      <c r="B286" s="120"/>
      <c r="C286" s="96" t="s">
        <v>67</v>
      </c>
      <c r="D286" s="96"/>
      <c r="E286" s="96"/>
      <c r="F286" s="120"/>
      <c r="G286" s="120"/>
      <c r="H286" s="120"/>
      <c r="I286" s="87"/>
    </row>
    <row r="287" spans="1:9" ht="16.5" x14ac:dyDescent="0.3">
      <c r="A287" s="87" t="e">
        <f>#REF!</f>
        <v>#REF!</v>
      </c>
      <c r="B287" s="120"/>
      <c r="C287" s="96" t="s">
        <v>67</v>
      </c>
      <c r="D287" s="96"/>
      <c r="E287" s="96"/>
      <c r="F287" s="120"/>
      <c r="G287" s="120"/>
      <c r="H287" s="120"/>
      <c r="I287" s="87"/>
    </row>
    <row r="288" spans="1:9" ht="16.5" x14ac:dyDescent="0.3">
      <c r="A288" s="87" t="e">
        <f>#REF!</f>
        <v>#REF!</v>
      </c>
      <c r="B288" s="120"/>
      <c r="C288" s="96" t="s">
        <v>67</v>
      </c>
      <c r="D288" s="96"/>
      <c r="E288" s="96"/>
      <c r="F288" s="120"/>
      <c r="G288" s="120"/>
      <c r="H288" s="120"/>
      <c r="I288" s="87"/>
    </row>
    <row r="289" spans="1:9" ht="16.5" x14ac:dyDescent="0.3">
      <c r="A289" s="87" t="e">
        <f>#REF!</f>
        <v>#REF!</v>
      </c>
      <c r="B289" s="120"/>
      <c r="C289" s="96" t="s">
        <v>67</v>
      </c>
      <c r="D289" s="96"/>
      <c r="E289" s="96"/>
      <c r="F289" s="120"/>
      <c r="G289" s="120"/>
      <c r="H289" s="120"/>
      <c r="I289" s="87"/>
    </row>
    <row r="290" spans="1:9" ht="16.5" x14ac:dyDescent="0.3">
      <c r="A290" s="40"/>
      <c r="B290" s="96"/>
      <c r="C290" s="96"/>
      <c r="D290" s="96"/>
      <c r="E290" s="96"/>
      <c r="F290" s="96"/>
      <c r="G290" s="96"/>
      <c r="H290" s="96"/>
      <c r="I290" s="87"/>
    </row>
    <row r="291" spans="1:9" ht="16.5" x14ac:dyDescent="0.3">
      <c r="A291" s="40" t="str">
        <f>Dist3</f>
        <v>blank</v>
      </c>
      <c r="B291" s="96"/>
      <c r="C291" s="87"/>
      <c r="D291" s="96"/>
      <c r="E291" s="96"/>
      <c r="F291" s="100"/>
      <c r="G291" s="100"/>
      <c r="H291" s="100"/>
      <c r="I291" s="87"/>
    </row>
    <row r="292" spans="1:9" ht="16.5" x14ac:dyDescent="0.3">
      <c r="A292" s="87" t="e">
        <f>#REF!</f>
        <v>#REF!</v>
      </c>
      <c r="B292" s="120"/>
      <c r="C292" s="96" t="s">
        <v>67</v>
      </c>
      <c r="D292" s="96"/>
      <c r="E292" s="96"/>
      <c r="F292" s="120"/>
      <c r="G292" s="120"/>
      <c r="H292" s="120"/>
      <c r="I292" s="87"/>
    </row>
    <row r="293" spans="1:9" ht="16.5" x14ac:dyDescent="0.3">
      <c r="A293" s="87" t="e">
        <f>#REF!</f>
        <v>#REF!</v>
      </c>
      <c r="B293" s="120"/>
      <c r="C293" s="96" t="s">
        <v>67</v>
      </c>
      <c r="D293" s="96"/>
      <c r="E293" s="96"/>
      <c r="F293" s="120"/>
      <c r="G293" s="120"/>
      <c r="H293" s="120"/>
      <c r="I293" s="87"/>
    </row>
    <row r="294" spans="1:9" ht="16.5" x14ac:dyDescent="0.3">
      <c r="A294" s="87" t="e">
        <f>#REF!</f>
        <v>#REF!</v>
      </c>
      <c r="B294" s="120"/>
      <c r="C294" s="96" t="s">
        <v>67</v>
      </c>
      <c r="D294" s="96"/>
      <c r="E294" s="96"/>
      <c r="F294" s="120"/>
      <c r="G294" s="120"/>
      <c r="H294" s="120"/>
      <c r="I294" s="87"/>
    </row>
    <row r="295" spans="1:9" ht="16.5" x14ac:dyDescent="0.3">
      <c r="A295" s="87" t="e">
        <f>#REF!</f>
        <v>#REF!</v>
      </c>
      <c r="B295" s="120"/>
      <c r="C295" s="96" t="s">
        <v>67</v>
      </c>
      <c r="D295" s="96"/>
      <c r="E295" s="96"/>
      <c r="F295" s="120"/>
      <c r="G295" s="120"/>
      <c r="H295" s="120"/>
      <c r="I295" s="87"/>
    </row>
    <row r="296" spans="1:9" ht="16.5" x14ac:dyDescent="0.3">
      <c r="A296" s="40"/>
      <c r="B296" s="96"/>
      <c r="C296" s="96"/>
      <c r="D296" s="96"/>
      <c r="E296" s="96"/>
      <c r="F296" s="96"/>
      <c r="G296" s="96"/>
      <c r="H296" s="96"/>
      <c r="I296" s="87"/>
    </row>
    <row r="297" spans="1:9" ht="16.5" x14ac:dyDescent="0.3">
      <c r="A297" s="40" t="str">
        <f>Dist4</f>
        <v>blank</v>
      </c>
      <c r="B297" s="96"/>
      <c r="C297" s="87"/>
      <c r="D297" s="96"/>
      <c r="E297" s="96"/>
      <c r="F297" s="100"/>
      <c r="G297" s="100"/>
      <c r="H297" s="100"/>
      <c r="I297" s="87"/>
    </row>
    <row r="298" spans="1:9" ht="16.5" x14ac:dyDescent="0.3">
      <c r="A298" s="87" t="e">
        <f>#REF!</f>
        <v>#REF!</v>
      </c>
      <c r="B298" s="120"/>
      <c r="C298" s="96" t="s">
        <v>67</v>
      </c>
      <c r="D298" s="96"/>
      <c r="E298" s="96"/>
      <c r="F298" s="120"/>
      <c r="G298" s="120"/>
      <c r="H298" s="120"/>
      <c r="I298" s="87"/>
    </row>
    <row r="299" spans="1:9" ht="16.5" x14ac:dyDescent="0.3">
      <c r="A299" s="87" t="e">
        <f>#REF!</f>
        <v>#REF!</v>
      </c>
      <c r="B299" s="120"/>
      <c r="C299" s="96" t="s">
        <v>67</v>
      </c>
      <c r="D299" s="96"/>
      <c r="E299" s="96"/>
      <c r="F299" s="120"/>
      <c r="G299" s="120"/>
      <c r="H299" s="120"/>
      <c r="I299" s="87"/>
    </row>
    <row r="300" spans="1:9" ht="16.5" x14ac:dyDescent="0.3">
      <c r="A300" s="87" t="e">
        <f>#REF!</f>
        <v>#REF!</v>
      </c>
      <c r="B300" s="120"/>
      <c r="C300" s="96" t="s">
        <v>67</v>
      </c>
      <c r="D300" s="96"/>
      <c r="E300" s="96"/>
      <c r="F300" s="120"/>
      <c r="G300" s="120"/>
      <c r="H300" s="120"/>
      <c r="I300" s="87"/>
    </row>
    <row r="301" spans="1:9" ht="16.5" x14ac:dyDescent="0.3">
      <c r="A301" s="87" t="e">
        <f>#REF!</f>
        <v>#REF!</v>
      </c>
      <c r="B301" s="120"/>
      <c r="C301" s="96" t="s">
        <v>67</v>
      </c>
      <c r="D301" s="96"/>
      <c r="E301" s="96"/>
      <c r="F301" s="120"/>
      <c r="G301" s="120"/>
      <c r="H301" s="120"/>
      <c r="I301" s="87"/>
    </row>
    <row r="302" spans="1:9" ht="16.5" x14ac:dyDescent="0.3">
      <c r="A302" s="87"/>
      <c r="B302" s="96"/>
      <c r="C302" s="96"/>
      <c r="D302" s="96"/>
      <c r="E302" s="96"/>
      <c r="F302" s="96"/>
      <c r="G302" s="96"/>
      <c r="H302" s="96"/>
      <c r="I302" s="87"/>
    </row>
    <row r="303" spans="1:9" ht="16.5" x14ac:dyDescent="0.3">
      <c r="A303" s="40" t="str">
        <f>Dist5</f>
        <v>blank</v>
      </c>
      <c r="B303" s="96"/>
      <c r="C303" s="87"/>
      <c r="D303" s="96"/>
      <c r="E303" s="96"/>
      <c r="F303" s="100"/>
      <c r="G303" s="100"/>
      <c r="H303" s="100"/>
      <c r="I303" s="87"/>
    </row>
    <row r="304" spans="1:9" ht="16.5" x14ac:dyDescent="0.3">
      <c r="A304" s="87" t="e">
        <f>#REF!</f>
        <v>#REF!</v>
      </c>
      <c r="B304" s="120"/>
      <c r="C304" s="96" t="s">
        <v>67</v>
      </c>
      <c r="D304" s="96"/>
      <c r="E304" s="96"/>
      <c r="F304" s="120"/>
      <c r="G304" s="120"/>
      <c r="H304" s="120"/>
      <c r="I304" s="87"/>
    </row>
    <row r="305" spans="1:9" ht="16.5" x14ac:dyDescent="0.3">
      <c r="A305" s="87" t="e">
        <f>#REF!</f>
        <v>#REF!</v>
      </c>
      <c r="B305" s="120"/>
      <c r="C305" s="96" t="s">
        <v>67</v>
      </c>
      <c r="D305" s="96"/>
      <c r="E305" s="96"/>
      <c r="F305" s="120"/>
      <c r="G305" s="120"/>
      <c r="H305" s="120"/>
      <c r="I305" s="87"/>
    </row>
    <row r="306" spans="1:9" ht="16.5" x14ac:dyDescent="0.3">
      <c r="A306" s="87" t="e">
        <f>#REF!</f>
        <v>#REF!</v>
      </c>
      <c r="B306" s="120"/>
      <c r="C306" s="96" t="s">
        <v>67</v>
      </c>
      <c r="D306" s="96"/>
      <c r="E306" s="96"/>
      <c r="F306" s="120"/>
      <c r="G306" s="120"/>
      <c r="H306" s="120"/>
      <c r="I306" s="87"/>
    </row>
    <row r="307" spans="1:9" ht="16.5" x14ac:dyDescent="0.3">
      <c r="A307" s="87" t="e">
        <f>#REF!</f>
        <v>#REF!</v>
      </c>
      <c r="B307" s="120"/>
      <c r="C307" s="96" t="s">
        <v>67</v>
      </c>
      <c r="D307" s="96"/>
      <c r="E307" s="96"/>
      <c r="F307" s="120"/>
      <c r="G307" s="120"/>
      <c r="H307" s="120"/>
      <c r="I307" s="87"/>
    </row>
    <row r="308" spans="1:9" ht="16.5" x14ac:dyDescent="0.3">
      <c r="A308" s="40"/>
      <c r="B308" s="96"/>
      <c r="C308" s="96"/>
      <c r="D308" s="96"/>
      <c r="E308" s="96"/>
      <c r="F308" s="96"/>
      <c r="G308" s="96"/>
      <c r="H308" s="96"/>
      <c r="I308" s="87"/>
    </row>
    <row r="309" spans="1:9" ht="16.5" x14ac:dyDescent="0.3">
      <c r="A309" s="107" t="str">
        <f>Scheme2</f>
        <v>blank</v>
      </c>
      <c r="B309" s="87"/>
      <c r="C309" s="87"/>
      <c r="D309" s="87"/>
      <c r="E309" s="87"/>
      <c r="F309" s="87"/>
      <c r="G309" s="87"/>
      <c r="H309" s="87"/>
      <c r="I309" s="87"/>
    </row>
    <row r="310" spans="1:9" ht="16.5" x14ac:dyDescent="0.3">
      <c r="A310" s="40" t="str">
        <f>Dist1</f>
        <v>Northern Territory</v>
      </c>
      <c r="B310" s="96"/>
      <c r="C310" s="87"/>
      <c r="D310" s="96"/>
      <c r="E310" s="96"/>
      <c r="F310" s="100"/>
      <c r="G310" s="100"/>
      <c r="H310" s="100"/>
      <c r="I310" s="87"/>
    </row>
    <row r="311" spans="1:9" ht="16.5" x14ac:dyDescent="0.3">
      <c r="A311" s="87" t="e">
        <f>#REF!</f>
        <v>#REF!</v>
      </c>
      <c r="B311" s="120"/>
      <c r="C311" s="96" t="s">
        <v>67</v>
      </c>
      <c r="D311" s="96"/>
      <c r="E311" s="96"/>
      <c r="F311" s="120"/>
      <c r="G311" s="120"/>
      <c r="H311" s="120"/>
      <c r="I311" s="87"/>
    </row>
    <row r="312" spans="1:9" ht="16.5" x14ac:dyDescent="0.3">
      <c r="A312" s="87" t="e">
        <f>#REF!</f>
        <v>#REF!</v>
      </c>
      <c r="B312" s="120"/>
      <c r="C312" s="96" t="s">
        <v>67</v>
      </c>
      <c r="D312" s="96"/>
      <c r="E312" s="96"/>
      <c r="F312" s="120"/>
      <c r="G312" s="120"/>
      <c r="H312" s="120"/>
      <c r="I312" s="87"/>
    </row>
    <row r="313" spans="1:9" ht="16.5" x14ac:dyDescent="0.3">
      <c r="A313" s="87" t="e">
        <f>#REF!</f>
        <v>#REF!</v>
      </c>
      <c r="B313" s="120"/>
      <c r="C313" s="96" t="s">
        <v>67</v>
      </c>
      <c r="D313" s="96"/>
      <c r="E313" s="96"/>
      <c r="F313" s="120"/>
      <c r="G313" s="120"/>
      <c r="H313" s="120"/>
      <c r="I313" s="87"/>
    </row>
    <row r="314" spans="1:9" ht="16.5" x14ac:dyDescent="0.3">
      <c r="A314" s="87" t="e">
        <f>#REF!</f>
        <v>#REF!</v>
      </c>
      <c r="B314" s="120"/>
      <c r="C314" s="96" t="s">
        <v>67</v>
      </c>
      <c r="D314" s="96"/>
      <c r="E314" s="96"/>
      <c r="F314" s="120"/>
      <c r="G314" s="120"/>
      <c r="H314" s="120"/>
      <c r="I314" s="87"/>
    </row>
    <row r="315" spans="1:9" ht="16.5" x14ac:dyDescent="0.3">
      <c r="A315" s="40"/>
      <c r="B315" s="96"/>
      <c r="C315" s="96"/>
      <c r="D315" s="96"/>
      <c r="E315" s="96"/>
      <c r="F315" s="100"/>
      <c r="G315" s="100"/>
      <c r="H315" s="100"/>
      <c r="I315" s="87"/>
    </row>
    <row r="316" spans="1:9" ht="16.5" x14ac:dyDescent="0.3">
      <c r="A316" s="40" t="str">
        <f>Dist2</f>
        <v>blank</v>
      </c>
      <c r="B316" s="96"/>
      <c r="C316" s="87"/>
      <c r="D316" s="96"/>
      <c r="E316" s="96"/>
      <c r="F316" s="100"/>
      <c r="G316" s="100"/>
      <c r="H316" s="100"/>
      <c r="I316" s="87"/>
    </row>
    <row r="317" spans="1:9" ht="16.5" x14ac:dyDescent="0.3">
      <c r="A317" s="87" t="e">
        <f>#REF!</f>
        <v>#REF!</v>
      </c>
      <c r="B317" s="120"/>
      <c r="C317" s="96" t="s">
        <v>67</v>
      </c>
      <c r="D317" s="96"/>
      <c r="E317" s="96"/>
      <c r="F317" s="120"/>
      <c r="G317" s="120"/>
      <c r="H317" s="120"/>
      <c r="I317" s="87"/>
    </row>
    <row r="318" spans="1:9" ht="16.5" x14ac:dyDescent="0.3">
      <c r="A318" s="87" t="e">
        <f>#REF!</f>
        <v>#REF!</v>
      </c>
      <c r="B318" s="120"/>
      <c r="C318" s="96" t="s">
        <v>67</v>
      </c>
      <c r="D318" s="96"/>
      <c r="E318" s="96"/>
      <c r="F318" s="120"/>
      <c r="G318" s="120"/>
      <c r="H318" s="120"/>
      <c r="I318" s="87"/>
    </row>
    <row r="319" spans="1:9" ht="16.5" x14ac:dyDescent="0.3">
      <c r="A319" s="87" t="e">
        <f>#REF!</f>
        <v>#REF!</v>
      </c>
      <c r="B319" s="120"/>
      <c r="C319" s="96" t="s">
        <v>67</v>
      </c>
      <c r="D319" s="96"/>
      <c r="E319" s="96"/>
      <c r="F319" s="120"/>
      <c r="G319" s="120"/>
      <c r="H319" s="120"/>
      <c r="I319" s="87"/>
    </row>
    <row r="320" spans="1:9" ht="16.5" x14ac:dyDescent="0.3">
      <c r="A320" s="87" t="e">
        <f>#REF!</f>
        <v>#REF!</v>
      </c>
      <c r="B320" s="120"/>
      <c r="C320" s="96" t="s">
        <v>67</v>
      </c>
      <c r="D320" s="96"/>
      <c r="E320" s="96"/>
      <c r="F320" s="120"/>
      <c r="G320" s="120"/>
      <c r="H320" s="120"/>
      <c r="I320" s="87"/>
    </row>
    <row r="321" spans="1:9" ht="16.5" x14ac:dyDescent="0.3">
      <c r="A321" s="40"/>
      <c r="B321" s="96"/>
      <c r="C321" s="96"/>
      <c r="D321" s="96"/>
      <c r="E321" s="96"/>
      <c r="F321" s="96"/>
      <c r="G321" s="96"/>
      <c r="H321" s="96"/>
      <c r="I321" s="87"/>
    </row>
    <row r="322" spans="1:9" ht="16.5" x14ac:dyDescent="0.3">
      <c r="A322" s="40" t="str">
        <f>Dist3</f>
        <v>blank</v>
      </c>
      <c r="B322" s="96"/>
      <c r="C322" s="87"/>
      <c r="D322" s="96"/>
      <c r="E322" s="96"/>
      <c r="F322" s="100"/>
      <c r="G322" s="100"/>
      <c r="H322" s="100"/>
      <c r="I322" s="87"/>
    </row>
    <row r="323" spans="1:9" ht="16.5" x14ac:dyDescent="0.3">
      <c r="A323" s="87" t="e">
        <f>#REF!</f>
        <v>#REF!</v>
      </c>
      <c r="B323" s="120"/>
      <c r="C323" s="96" t="s">
        <v>67</v>
      </c>
      <c r="D323" s="96"/>
      <c r="E323" s="96"/>
      <c r="F323" s="120"/>
      <c r="G323" s="120"/>
      <c r="H323" s="120"/>
      <c r="I323" s="87"/>
    </row>
    <row r="324" spans="1:9" ht="16.5" x14ac:dyDescent="0.3">
      <c r="A324" s="87" t="e">
        <f>#REF!</f>
        <v>#REF!</v>
      </c>
      <c r="B324" s="120"/>
      <c r="C324" s="96" t="s">
        <v>67</v>
      </c>
      <c r="D324" s="96"/>
      <c r="E324" s="96"/>
      <c r="F324" s="120"/>
      <c r="G324" s="120"/>
      <c r="H324" s="120"/>
      <c r="I324" s="87"/>
    </row>
    <row r="325" spans="1:9" ht="16.5" x14ac:dyDescent="0.3">
      <c r="A325" s="87" t="e">
        <f>#REF!</f>
        <v>#REF!</v>
      </c>
      <c r="B325" s="120"/>
      <c r="C325" s="96" t="s">
        <v>67</v>
      </c>
      <c r="D325" s="96"/>
      <c r="E325" s="96"/>
      <c r="F325" s="120"/>
      <c r="G325" s="120"/>
      <c r="H325" s="120"/>
      <c r="I325" s="87"/>
    </row>
    <row r="326" spans="1:9" ht="16.5" x14ac:dyDescent="0.3">
      <c r="A326" s="87" t="e">
        <f>#REF!</f>
        <v>#REF!</v>
      </c>
      <c r="B326" s="120"/>
      <c r="C326" s="96" t="s">
        <v>67</v>
      </c>
      <c r="D326" s="96"/>
      <c r="E326" s="96"/>
      <c r="F326" s="120"/>
      <c r="G326" s="120"/>
      <c r="H326" s="120"/>
      <c r="I326" s="87"/>
    </row>
    <row r="327" spans="1:9" ht="16.5" x14ac:dyDescent="0.3">
      <c r="A327" s="40"/>
      <c r="B327" s="96"/>
      <c r="C327" s="96"/>
      <c r="D327" s="96"/>
      <c r="E327" s="96"/>
      <c r="F327" s="96"/>
      <c r="G327" s="96"/>
      <c r="H327" s="96"/>
      <c r="I327" s="87"/>
    </row>
    <row r="328" spans="1:9" ht="16.5" x14ac:dyDescent="0.3">
      <c r="A328" s="40" t="str">
        <f>Dist4</f>
        <v>blank</v>
      </c>
      <c r="B328" s="96"/>
      <c r="C328" s="87"/>
      <c r="D328" s="96"/>
      <c r="E328" s="96"/>
      <c r="F328" s="100"/>
      <c r="G328" s="100"/>
      <c r="H328" s="100"/>
      <c r="I328" s="87"/>
    </row>
    <row r="329" spans="1:9" ht="16.5" x14ac:dyDescent="0.3">
      <c r="A329" s="87" t="e">
        <f>#REF!</f>
        <v>#REF!</v>
      </c>
      <c r="B329" s="120"/>
      <c r="C329" s="96" t="s">
        <v>67</v>
      </c>
      <c r="D329" s="96"/>
      <c r="E329" s="96"/>
      <c r="F329" s="120"/>
      <c r="G329" s="120"/>
      <c r="H329" s="120"/>
      <c r="I329" s="87"/>
    </row>
    <row r="330" spans="1:9" ht="16.5" x14ac:dyDescent="0.3">
      <c r="A330" s="87" t="e">
        <f>#REF!</f>
        <v>#REF!</v>
      </c>
      <c r="B330" s="120"/>
      <c r="C330" s="96" t="s">
        <v>67</v>
      </c>
      <c r="D330" s="96"/>
      <c r="E330" s="96"/>
      <c r="F330" s="120"/>
      <c r="G330" s="120"/>
      <c r="H330" s="120"/>
      <c r="I330" s="87"/>
    </row>
    <row r="331" spans="1:9" ht="16.5" x14ac:dyDescent="0.3">
      <c r="A331" s="87" t="e">
        <f>#REF!</f>
        <v>#REF!</v>
      </c>
      <c r="B331" s="120"/>
      <c r="C331" s="96" t="s">
        <v>67</v>
      </c>
      <c r="D331" s="96"/>
      <c r="E331" s="96"/>
      <c r="F331" s="120"/>
      <c r="G331" s="120"/>
      <c r="H331" s="120"/>
      <c r="I331" s="87"/>
    </row>
    <row r="332" spans="1:9" ht="16.5" x14ac:dyDescent="0.3">
      <c r="A332" s="87" t="e">
        <f>#REF!</f>
        <v>#REF!</v>
      </c>
      <c r="B332" s="120"/>
      <c r="C332" s="96" t="s">
        <v>67</v>
      </c>
      <c r="D332" s="96"/>
      <c r="E332" s="96"/>
      <c r="F332" s="120"/>
      <c r="G332" s="120"/>
      <c r="H332" s="120"/>
      <c r="I332" s="87"/>
    </row>
    <row r="333" spans="1:9" ht="16.5" x14ac:dyDescent="0.3">
      <c r="A333" s="87"/>
      <c r="B333" s="96"/>
      <c r="C333" s="96"/>
      <c r="D333" s="96"/>
      <c r="E333" s="96"/>
      <c r="F333" s="96"/>
      <c r="G333" s="96"/>
      <c r="H333" s="96"/>
      <c r="I333" s="87"/>
    </row>
    <row r="334" spans="1:9" ht="16.5" x14ac:dyDescent="0.3">
      <c r="A334" s="40" t="str">
        <f>Dist5</f>
        <v>blank</v>
      </c>
      <c r="B334" s="96"/>
      <c r="C334" s="87"/>
      <c r="D334" s="96"/>
      <c r="E334" s="96"/>
      <c r="F334" s="100"/>
      <c r="G334" s="100"/>
      <c r="H334" s="100"/>
      <c r="I334" s="87"/>
    </row>
    <row r="335" spans="1:9" ht="16.5" x14ac:dyDescent="0.3">
      <c r="A335" s="87" t="e">
        <f>#REF!</f>
        <v>#REF!</v>
      </c>
      <c r="B335" s="120"/>
      <c r="C335" s="96" t="s">
        <v>67</v>
      </c>
      <c r="D335" s="96"/>
      <c r="E335" s="96"/>
      <c r="F335" s="120"/>
      <c r="G335" s="120"/>
      <c r="H335" s="120"/>
      <c r="I335" s="87"/>
    </row>
    <row r="336" spans="1:9" ht="16.5" x14ac:dyDescent="0.3">
      <c r="A336" s="87" t="e">
        <f>#REF!</f>
        <v>#REF!</v>
      </c>
      <c r="B336" s="120"/>
      <c r="C336" s="96" t="s">
        <v>67</v>
      </c>
      <c r="D336" s="96"/>
      <c r="E336" s="96"/>
      <c r="F336" s="120"/>
      <c r="G336" s="120"/>
      <c r="H336" s="120"/>
      <c r="I336" s="87"/>
    </row>
    <row r="337" spans="1:9" ht="16.5" x14ac:dyDescent="0.3">
      <c r="A337" s="87" t="e">
        <f>#REF!</f>
        <v>#REF!</v>
      </c>
      <c r="B337" s="120"/>
      <c r="C337" s="96" t="s">
        <v>67</v>
      </c>
      <c r="D337" s="96"/>
      <c r="E337" s="96"/>
      <c r="F337" s="120"/>
      <c r="G337" s="120"/>
      <c r="H337" s="120"/>
      <c r="I337" s="87"/>
    </row>
    <row r="338" spans="1:9" ht="16.5" x14ac:dyDescent="0.3">
      <c r="A338" s="87" t="e">
        <f>#REF!</f>
        <v>#REF!</v>
      </c>
      <c r="B338" s="120"/>
      <c r="C338" s="96" t="s">
        <v>67</v>
      </c>
      <c r="D338" s="96"/>
      <c r="E338" s="96"/>
      <c r="F338" s="120"/>
      <c r="G338" s="120"/>
      <c r="H338" s="120"/>
      <c r="I338" s="87"/>
    </row>
    <row r="339" spans="1:9" ht="16.5" x14ac:dyDescent="0.3">
      <c r="A339" s="40"/>
      <c r="B339" s="96"/>
      <c r="C339" s="96"/>
      <c r="D339" s="96"/>
      <c r="E339" s="96"/>
      <c r="F339" s="100"/>
      <c r="G339" s="41"/>
      <c r="H339" s="41"/>
      <c r="I339" s="87"/>
    </row>
    <row r="340" spans="1:9" ht="16.5" x14ac:dyDescent="0.3">
      <c r="I340" s="87"/>
    </row>
    <row r="341" spans="1:9" ht="16.5" x14ac:dyDescent="0.3">
      <c r="I341" s="87"/>
    </row>
    <row r="342" spans="1:9" ht="16.5" x14ac:dyDescent="0.3">
      <c r="I342" s="87"/>
    </row>
    <row r="343" spans="1:9" ht="16.5" x14ac:dyDescent="0.3">
      <c r="I343" s="87"/>
    </row>
    <row r="344" spans="1:9" ht="16.5" x14ac:dyDescent="0.3">
      <c r="I344" s="87"/>
    </row>
    <row r="345" spans="1:9" ht="16.5" x14ac:dyDescent="0.3">
      <c r="I345" s="87"/>
    </row>
    <row r="346" spans="1:9" ht="16.5" x14ac:dyDescent="0.3">
      <c r="I346" s="87"/>
    </row>
    <row r="347" spans="1:9" ht="16.5" x14ac:dyDescent="0.3">
      <c r="I347" s="87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N836"/>
  <sheetViews>
    <sheetView zoomScaleNormal="100" workbookViewId="0">
      <pane ySplit="4" topLeftCell="A5" activePane="bottomLeft" state="frozenSplit"/>
      <selection activeCell="C50" sqref="C50"/>
      <selection pane="bottomLeft" activeCell="D845" sqref="D845"/>
    </sheetView>
  </sheetViews>
  <sheetFormatPr defaultColWidth="9.140625" defaultRowHeight="16.5" x14ac:dyDescent="0.3"/>
  <cols>
    <col min="1" max="1" width="27.5703125" style="50" bestFit="1" customWidth="1"/>
    <col min="2" max="3" width="15" style="50" customWidth="1"/>
    <col min="4" max="6" width="17.7109375" style="50" customWidth="1"/>
    <col min="7" max="8" width="17.7109375" style="21" customWidth="1"/>
    <col min="9" max="9" width="14.85546875" style="50" customWidth="1"/>
    <col min="10" max="10" width="11.42578125" style="50" bestFit="1" customWidth="1"/>
    <col min="11" max="11" width="11.28515625" style="50" bestFit="1" customWidth="1"/>
    <col min="12" max="13" width="12.42578125" style="50" bestFit="1" customWidth="1"/>
    <col min="14" max="14" width="13" style="50" bestFit="1" customWidth="1"/>
    <col min="15" max="15" width="9.85546875" style="50" bestFit="1" customWidth="1"/>
    <col min="16" max="16384" width="9.140625" style="50"/>
  </cols>
  <sheetData>
    <row r="1" spans="1:9" s="9" customFormat="1" ht="23.25" x14ac:dyDescent="0.35">
      <c r="A1" s="9" t="s">
        <v>1</v>
      </c>
      <c r="B1" s="10" t="str">
        <f ca="1">'Input Global'!B1</f>
        <v>2012 Pricing Trends - model - NT</v>
      </c>
      <c r="C1" s="10"/>
      <c r="D1" s="10"/>
      <c r="E1" s="10"/>
      <c r="F1" s="10"/>
      <c r="I1" s="104" t="s">
        <v>31</v>
      </c>
    </row>
    <row r="2" spans="1:9" s="9" customFormat="1" ht="18.75" x14ac:dyDescent="0.3">
      <c r="B2" s="12" t="str">
        <f ca="1">RIGHT(CELL("filename",B2),LEN(CELL("filename",B2))-SEARCH("]",CELL("filename",B2)))</f>
        <v>Input General</v>
      </c>
      <c r="C2" s="12"/>
      <c r="D2" s="12"/>
      <c r="E2" s="12"/>
      <c r="F2" s="12"/>
      <c r="I2" s="61" t="s">
        <v>25</v>
      </c>
    </row>
    <row r="3" spans="1:9" s="9" customFormat="1" x14ac:dyDescent="0.3">
      <c r="I3" s="112" t="s">
        <v>32</v>
      </c>
    </row>
    <row r="4" spans="1:9" s="9" customFormat="1" ht="15.75" x14ac:dyDescent="0.3">
      <c r="B4" s="13"/>
      <c r="C4" s="14" t="s">
        <v>8</v>
      </c>
      <c r="D4" s="14" t="str">
        <f>'Input Global'!D4</f>
        <v>2010/11</v>
      </c>
      <c r="E4" s="14" t="str">
        <f>'Input Global'!E4</f>
        <v>2011/12</v>
      </c>
      <c r="F4" s="14" t="str">
        <f>'Input Global'!F4</f>
        <v>2012/13</v>
      </c>
      <c r="G4" s="14" t="str">
        <f>'Input Global'!G4</f>
        <v>2013/14</v>
      </c>
      <c r="H4" s="14" t="str">
        <f>'Input Global'!H4</f>
        <v>2014/15</v>
      </c>
    </row>
    <row r="5" spans="1:9" s="21" customFormat="1" x14ac:dyDescent="0.3"/>
    <row r="6" spans="1:9" s="23" customFormat="1" ht="18.75" hidden="1" x14ac:dyDescent="0.3">
      <c r="A6" s="22" t="s">
        <v>121</v>
      </c>
    </row>
    <row r="7" spans="1:9" s="21" customFormat="1" hidden="1" x14ac:dyDescent="0.3">
      <c r="A7" s="24" t="str">
        <f>Dist1</f>
        <v>Northern Territory</v>
      </c>
      <c r="F7" s="25"/>
    </row>
    <row r="8" spans="1:9" s="21" customFormat="1" hidden="1" x14ac:dyDescent="0.3">
      <c r="A8" s="26" t="s">
        <v>18</v>
      </c>
      <c r="B8" s="21" t="s">
        <v>25</v>
      </c>
      <c r="C8" s="21" t="s">
        <v>29</v>
      </c>
      <c r="D8" s="64">
        <f>IF($C600="$/pa",D600*100,D600)</f>
        <v>0</v>
      </c>
      <c r="E8" s="64">
        <f>IF($C600="$/pa",E600*100,E600)</f>
        <v>0</v>
      </c>
      <c r="F8" s="64">
        <f>IF($C600="$/pa",F600*100,F600)</f>
        <v>0</v>
      </c>
      <c r="G8" s="64">
        <f>IF($C600="$/pa",G600*100,G600)</f>
        <v>0</v>
      </c>
      <c r="H8" s="64">
        <f>IF($C600="$/pa",H600*100,H600)</f>
        <v>0</v>
      </c>
    </row>
    <row r="9" spans="1:9" s="21" customFormat="1" hidden="1" x14ac:dyDescent="0.3">
      <c r="A9" s="26" t="s">
        <v>19</v>
      </c>
      <c r="B9" s="21" t="s">
        <v>25</v>
      </c>
      <c r="C9" s="21" t="s">
        <v>11</v>
      </c>
      <c r="D9" s="64">
        <f>IF($C601="$/kwh",D601*100,IF($C601="$/mwh",D601*100/1000,D601))</f>
        <v>0</v>
      </c>
      <c r="E9" s="64">
        <f>IF($C601="$/kwh",E601*100,IF($C601="$/mwh",E601*100/1000,E601))</f>
        <v>0</v>
      </c>
      <c r="F9" s="64">
        <f>IF($C601="$/kwh",F601*100,IF($C601="$/mwh",F601*100/1000,F601))</f>
        <v>0</v>
      </c>
      <c r="G9" s="64">
        <f>IF($C601="$/kwh",G601*100,IF($C601="$/mwh",G601*100/1000,G601))</f>
        <v>0</v>
      </c>
      <c r="H9" s="64">
        <f>IF($C601="$/kwh",H601*100,IF($C601="$/mwh",H601*100/1000,H601))</f>
        <v>0</v>
      </c>
    </row>
    <row r="10" spans="1:9" s="21" customFormat="1" hidden="1" x14ac:dyDescent="0.3">
      <c r="A10" s="26" t="s">
        <v>20</v>
      </c>
      <c r="B10" s="21" t="s">
        <v>25</v>
      </c>
      <c r="C10" s="21" t="s">
        <v>11</v>
      </c>
      <c r="D10" s="64">
        <f t="shared" ref="D10:H12" si="0">IF($C602="$/kwh",D602*100,IF($C602="$/mwh",D602*100/1000,D602))</f>
        <v>0</v>
      </c>
      <c r="E10" s="64">
        <f t="shared" si="0"/>
        <v>0</v>
      </c>
      <c r="F10" s="89">
        <f t="shared" si="0"/>
        <v>0</v>
      </c>
      <c r="G10" s="89">
        <f t="shared" si="0"/>
        <v>0</v>
      </c>
      <c r="H10" s="64">
        <f t="shared" ref="G10:H11" si="1">IF($C602="$/kwh",H602*100,IF($C602="$/mwh",H602*100/1000,H602))</f>
        <v>0</v>
      </c>
    </row>
    <row r="11" spans="1:9" s="21" customFormat="1" hidden="1" x14ac:dyDescent="0.3">
      <c r="A11" s="26" t="s">
        <v>21</v>
      </c>
      <c r="B11" s="21" t="s">
        <v>25</v>
      </c>
      <c r="C11" s="21" t="s">
        <v>11</v>
      </c>
      <c r="D11" s="64">
        <f t="shared" si="0"/>
        <v>0</v>
      </c>
      <c r="E11" s="64">
        <f t="shared" si="0"/>
        <v>0</v>
      </c>
      <c r="F11" s="64">
        <f>IF($C603="$/kwh",F603*100,IF($C603="$/mwh",F603*100/1000,F603))</f>
        <v>0</v>
      </c>
      <c r="G11" s="64">
        <f t="shared" si="1"/>
        <v>0</v>
      </c>
      <c r="H11" s="64">
        <f t="shared" si="1"/>
        <v>0</v>
      </c>
    </row>
    <row r="12" spans="1:9" s="21" customFormat="1" hidden="1" x14ac:dyDescent="0.3">
      <c r="A12" s="26" t="s">
        <v>83</v>
      </c>
      <c r="B12" s="21" t="s">
        <v>25</v>
      </c>
      <c r="C12" s="21" t="s">
        <v>11</v>
      </c>
      <c r="D12" s="64">
        <f t="shared" si="0"/>
        <v>0</v>
      </c>
      <c r="E12" s="64">
        <f t="shared" si="0"/>
        <v>0</v>
      </c>
      <c r="F12" s="89">
        <f t="shared" si="0"/>
        <v>0</v>
      </c>
      <c r="G12" s="89">
        <f t="shared" si="0"/>
        <v>0</v>
      </c>
      <c r="H12" s="89">
        <f t="shared" si="0"/>
        <v>0</v>
      </c>
    </row>
    <row r="13" spans="1:9" s="21" customFormat="1" hidden="1" x14ac:dyDescent="0.3">
      <c r="A13" s="24" t="str">
        <f>Dist2</f>
        <v>blank</v>
      </c>
      <c r="D13" s="57"/>
      <c r="E13" s="57"/>
      <c r="F13" s="57"/>
      <c r="G13" s="57"/>
      <c r="H13" s="57"/>
    </row>
    <row r="14" spans="1:9" s="21" customFormat="1" hidden="1" x14ac:dyDescent="0.3">
      <c r="A14" s="26" t="str">
        <f>A8</f>
        <v>Standing</v>
      </c>
      <c r="B14" s="21" t="s">
        <v>25</v>
      </c>
      <c r="C14" s="21" t="s">
        <v>29</v>
      </c>
      <c r="D14" s="64">
        <f>IF($C610="$/pa",D610*100,D610)</f>
        <v>0</v>
      </c>
      <c r="E14" s="64">
        <f>IF($C610="$/pa",E610*100,E610)</f>
        <v>0</v>
      </c>
      <c r="F14" s="64">
        <f>IF($C610="$/pa",F610*100,F610)</f>
        <v>0</v>
      </c>
      <c r="G14" s="64">
        <f>IF($C610="$/pa",G610*100,G610)</f>
        <v>0</v>
      </c>
      <c r="H14" s="64">
        <f>IF($C610="$/pa",H610*100,H610)</f>
        <v>0</v>
      </c>
    </row>
    <row r="15" spans="1:9" s="21" customFormat="1" hidden="1" x14ac:dyDescent="0.3">
      <c r="A15" s="26" t="str">
        <f>A9</f>
        <v>Block 1</v>
      </c>
      <c r="B15" s="21" t="s">
        <v>25</v>
      </c>
      <c r="C15" s="21" t="s">
        <v>11</v>
      </c>
      <c r="D15" s="64">
        <f t="shared" ref="D15:H18" si="2">IF($C611="$/kwh",D611*100,IF($C611="$/mwh",D611*100/1000,D611))</f>
        <v>0</v>
      </c>
      <c r="E15" s="64">
        <f t="shared" si="2"/>
        <v>0</v>
      </c>
      <c r="F15" s="64">
        <f t="shared" si="2"/>
        <v>0</v>
      </c>
      <c r="G15" s="64">
        <f t="shared" si="2"/>
        <v>0</v>
      </c>
      <c r="H15" s="64">
        <f t="shared" si="2"/>
        <v>0</v>
      </c>
    </row>
    <row r="16" spans="1:9" s="21" customFormat="1" hidden="1" x14ac:dyDescent="0.3">
      <c r="A16" s="26" t="str">
        <f>A10</f>
        <v>Block 2</v>
      </c>
      <c r="B16" s="21" t="s">
        <v>25</v>
      </c>
      <c r="C16" s="21" t="s">
        <v>11</v>
      </c>
      <c r="D16" s="64">
        <f t="shared" si="2"/>
        <v>0</v>
      </c>
      <c r="E16" s="64">
        <f t="shared" si="2"/>
        <v>0</v>
      </c>
      <c r="F16" s="64">
        <f t="shared" si="2"/>
        <v>0</v>
      </c>
      <c r="G16" s="64">
        <f t="shared" si="2"/>
        <v>0</v>
      </c>
      <c r="H16" s="64">
        <f t="shared" si="2"/>
        <v>0</v>
      </c>
    </row>
    <row r="17" spans="1:8" s="21" customFormat="1" hidden="1" x14ac:dyDescent="0.3">
      <c r="A17" s="26" t="str">
        <f>A11</f>
        <v>Block 3</v>
      </c>
      <c r="B17" s="21" t="s">
        <v>25</v>
      </c>
      <c r="C17" s="21" t="s">
        <v>11</v>
      </c>
      <c r="D17" s="64">
        <f t="shared" si="2"/>
        <v>0</v>
      </c>
      <c r="E17" s="64">
        <f t="shared" si="2"/>
        <v>0</v>
      </c>
      <c r="F17" s="64">
        <f t="shared" si="2"/>
        <v>0</v>
      </c>
      <c r="G17" s="64">
        <f t="shared" si="2"/>
        <v>0</v>
      </c>
      <c r="H17" s="64">
        <f t="shared" si="2"/>
        <v>0</v>
      </c>
    </row>
    <row r="18" spans="1:8" s="21" customFormat="1" hidden="1" x14ac:dyDescent="0.3">
      <c r="A18" s="26" t="str">
        <f>A12</f>
        <v>Block 4</v>
      </c>
      <c r="B18" s="21" t="s">
        <v>25</v>
      </c>
      <c r="C18" s="21" t="s">
        <v>11</v>
      </c>
      <c r="D18" s="64">
        <f t="shared" si="2"/>
        <v>0</v>
      </c>
      <c r="E18" s="64">
        <f t="shared" si="2"/>
        <v>0</v>
      </c>
      <c r="F18" s="64">
        <f t="shared" si="2"/>
        <v>0</v>
      </c>
      <c r="G18" s="64">
        <f t="shared" si="2"/>
        <v>0</v>
      </c>
      <c r="H18" s="64">
        <f t="shared" si="2"/>
        <v>0</v>
      </c>
    </row>
    <row r="19" spans="1:8" s="21" customFormat="1" hidden="1" x14ac:dyDescent="0.3">
      <c r="A19" s="24" t="str">
        <f>Dist3</f>
        <v>blank</v>
      </c>
      <c r="D19" s="57"/>
      <c r="E19" s="57"/>
      <c r="F19" s="57"/>
      <c r="G19" s="57"/>
      <c r="H19" s="57"/>
    </row>
    <row r="20" spans="1:8" s="21" customFormat="1" hidden="1" x14ac:dyDescent="0.3">
      <c r="A20" s="26" t="str">
        <f>A14</f>
        <v>Standing</v>
      </c>
      <c r="B20" s="21" t="s">
        <v>25</v>
      </c>
      <c r="C20" s="21" t="s">
        <v>29</v>
      </c>
      <c r="D20" s="64">
        <f>IF($C620="$/pa",D620*100,D620)</f>
        <v>0</v>
      </c>
      <c r="E20" s="64">
        <f>IF($C620="$/pa",E620*100,E620)</f>
        <v>0</v>
      </c>
      <c r="F20" s="64">
        <f>IF($C620="$/pa",F620*100,F620)</f>
        <v>0</v>
      </c>
      <c r="G20" s="64">
        <f>IF($C620="$/pa",G620*100,G620)</f>
        <v>0</v>
      </c>
      <c r="H20" s="64">
        <f>IF($C620="$/pa",H620*100,H620)</f>
        <v>0</v>
      </c>
    </row>
    <row r="21" spans="1:8" s="21" customFormat="1" hidden="1" x14ac:dyDescent="0.3">
      <c r="A21" s="26" t="str">
        <f>A15</f>
        <v>Block 1</v>
      </c>
      <c r="B21" s="21" t="s">
        <v>25</v>
      </c>
      <c r="C21" s="21" t="s">
        <v>11</v>
      </c>
      <c r="D21" s="64">
        <f t="shared" ref="D21:H24" si="3">IF($C621="$/kwh",D621*100,IF($C621="$/mwh",D621*100/1000,D621))</f>
        <v>0</v>
      </c>
      <c r="E21" s="64">
        <f t="shared" si="3"/>
        <v>0</v>
      </c>
      <c r="F21" s="64">
        <f t="shared" si="3"/>
        <v>0</v>
      </c>
      <c r="G21" s="64">
        <f t="shared" si="3"/>
        <v>0</v>
      </c>
      <c r="H21" s="64">
        <f t="shared" si="3"/>
        <v>0</v>
      </c>
    </row>
    <row r="22" spans="1:8" s="21" customFormat="1" hidden="1" x14ac:dyDescent="0.3">
      <c r="A22" s="26" t="str">
        <f>A16</f>
        <v>Block 2</v>
      </c>
      <c r="B22" s="21" t="s">
        <v>25</v>
      </c>
      <c r="C22" s="21" t="s">
        <v>11</v>
      </c>
      <c r="D22" s="64">
        <f t="shared" si="3"/>
        <v>0</v>
      </c>
      <c r="E22" s="64">
        <f t="shared" si="3"/>
        <v>0</v>
      </c>
      <c r="F22" s="64">
        <f t="shared" si="3"/>
        <v>0</v>
      </c>
      <c r="G22" s="64">
        <f t="shared" si="3"/>
        <v>0</v>
      </c>
      <c r="H22" s="64">
        <f t="shared" si="3"/>
        <v>0</v>
      </c>
    </row>
    <row r="23" spans="1:8" s="21" customFormat="1" hidden="1" x14ac:dyDescent="0.3">
      <c r="A23" s="26" t="str">
        <f>A17</f>
        <v>Block 3</v>
      </c>
      <c r="B23" s="21" t="s">
        <v>25</v>
      </c>
      <c r="C23" s="21" t="s">
        <v>11</v>
      </c>
      <c r="D23" s="64">
        <f t="shared" si="3"/>
        <v>0</v>
      </c>
      <c r="E23" s="64">
        <f t="shared" si="3"/>
        <v>0</v>
      </c>
      <c r="F23" s="64">
        <f t="shared" si="3"/>
        <v>0</v>
      </c>
      <c r="G23" s="64">
        <f t="shared" si="3"/>
        <v>0</v>
      </c>
      <c r="H23" s="64">
        <f t="shared" si="3"/>
        <v>0</v>
      </c>
    </row>
    <row r="24" spans="1:8" s="21" customFormat="1" hidden="1" x14ac:dyDescent="0.3">
      <c r="A24" s="26" t="str">
        <f>A18</f>
        <v>Block 4</v>
      </c>
      <c r="B24" s="21" t="s">
        <v>25</v>
      </c>
      <c r="C24" s="21" t="s">
        <v>11</v>
      </c>
      <c r="D24" s="64">
        <f t="shared" si="3"/>
        <v>0</v>
      </c>
      <c r="E24" s="64">
        <f t="shared" si="3"/>
        <v>0</v>
      </c>
      <c r="F24" s="64">
        <f t="shared" si="3"/>
        <v>0</v>
      </c>
      <c r="G24" s="64">
        <f t="shared" si="3"/>
        <v>0</v>
      </c>
      <c r="H24" s="64">
        <f t="shared" si="3"/>
        <v>0</v>
      </c>
    </row>
    <row r="25" spans="1:8" s="21" customFormat="1" hidden="1" x14ac:dyDescent="0.3">
      <c r="A25" s="24" t="str">
        <f>Dist4</f>
        <v>blank</v>
      </c>
      <c r="D25" s="25"/>
      <c r="E25" s="25"/>
      <c r="F25" s="25"/>
      <c r="G25" s="25"/>
      <c r="H25" s="25"/>
    </row>
    <row r="26" spans="1:8" s="21" customFormat="1" hidden="1" x14ac:dyDescent="0.3">
      <c r="A26" s="26" t="str">
        <f>A20</f>
        <v>Standing</v>
      </c>
      <c r="B26" s="21" t="s">
        <v>25</v>
      </c>
      <c r="C26" s="21" t="s">
        <v>29</v>
      </c>
      <c r="D26" s="64">
        <f>IF($C630="$/pa",D630*100,D630)</f>
        <v>0</v>
      </c>
      <c r="E26" s="64">
        <f>IF($C630="$/pa",E630*100,E630)</f>
        <v>0</v>
      </c>
      <c r="F26" s="64">
        <f>IF($C630="$/pa",F630*100,F630)</f>
        <v>0</v>
      </c>
      <c r="G26" s="64">
        <f>IF($C630="$/pa",G630*100,G630)</f>
        <v>0</v>
      </c>
      <c r="H26" s="64">
        <f>IF($C630="$/pa",H630*100,H630)</f>
        <v>0</v>
      </c>
    </row>
    <row r="27" spans="1:8" s="21" customFormat="1" hidden="1" x14ac:dyDescent="0.3">
      <c r="A27" s="26" t="str">
        <f>A21</f>
        <v>Block 1</v>
      </c>
      <c r="B27" s="21" t="s">
        <v>25</v>
      </c>
      <c r="C27" s="21" t="s">
        <v>11</v>
      </c>
      <c r="D27" s="64">
        <f t="shared" ref="D27:H30" si="4">IF($C631="$/kwh",D631*100,IF($C631="$/mwh",D631*100/1000,D631))</f>
        <v>0</v>
      </c>
      <c r="E27" s="64">
        <f t="shared" si="4"/>
        <v>0</v>
      </c>
      <c r="F27" s="64">
        <f t="shared" si="4"/>
        <v>0</v>
      </c>
      <c r="G27" s="64">
        <f t="shared" si="4"/>
        <v>0</v>
      </c>
      <c r="H27" s="64">
        <f t="shared" si="4"/>
        <v>0</v>
      </c>
    </row>
    <row r="28" spans="1:8" s="21" customFormat="1" hidden="1" x14ac:dyDescent="0.3">
      <c r="A28" s="26" t="str">
        <f>A22</f>
        <v>Block 2</v>
      </c>
      <c r="B28" s="21" t="s">
        <v>25</v>
      </c>
      <c r="C28" s="21" t="s">
        <v>11</v>
      </c>
      <c r="D28" s="64">
        <f t="shared" si="4"/>
        <v>0</v>
      </c>
      <c r="E28" s="64">
        <f t="shared" si="4"/>
        <v>0</v>
      </c>
      <c r="F28" s="64">
        <f t="shared" si="4"/>
        <v>0</v>
      </c>
      <c r="G28" s="64">
        <f t="shared" si="4"/>
        <v>0</v>
      </c>
      <c r="H28" s="64">
        <f t="shared" si="4"/>
        <v>0</v>
      </c>
    </row>
    <row r="29" spans="1:8" s="21" customFormat="1" hidden="1" x14ac:dyDescent="0.3">
      <c r="A29" s="26" t="str">
        <f>A23</f>
        <v>Block 3</v>
      </c>
      <c r="B29" s="21" t="s">
        <v>25</v>
      </c>
      <c r="C29" s="21" t="s">
        <v>11</v>
      </c>
      <c r="D29" s="64">
        <f t="shared" si="4"/>
        <v>0</v>
      </c>
      <c r="E29" s="64">
        <f t="shared" si="4"/>
        <v>0</v>
      </c>
      <c r="F29" s="64">
        <f t="shared" si="4"/>
        <v>0</v>
      </c>
      <c r="G29" s="64">
        <f t="shared" si="4"/>
        <v>0</v>
      </c>
      <c r="H29" s="64">
        <f t="shared" si="4"/>
        <v>0</v>
      </c>
    </row>
    <row r="30" spans="1:8" s="21" customFormat="1" hidden="1" x14ac:dyDescent="0.3">
      <c r="A30" s="26" t="str">
        <f>A24</f>
        <v>Block 4</v>
      </c>
      <c r="B30" s="21" t="s">
        <v>25</v>
      </c>
      <c r="C30" s="21" t="s">
        <v>11</v>
      </c>
      <c r="D30" s="64">
        <f t="shared" si="4"/>
        <v>0</v>
      </c>
      <c r="E30" s="64">
        <f t="shared" si="4"/>
        <v>0</v>
      </c>
      <c r="F30" s="64">
        <f t="shared" si="4"/>
        <v>0</v>
      </c>
      <c r="G30" s="64">
        <f t="shared" si="4"/>
        <v>0</v>
      </c>
      <c r="H30" s="64">
        <f t="shared" si="4"/>
        <v>0</v>
      </c>
    </row>
    <row r="31" spans="1:8" s="21" customFormat="1" hidden="1" x14ac:dyDescent="0.3">
      <c r="A31" s="24" t="str">
        <f>Dist5</f>
        <v>blank</v>
      </c>
      <c r="D31" s="25"/>
      <c r="E31" s="25"/>
      <c r="F31" s="25"/>
      <c r="G31" s="25"/>
      <c r="H31" s="25"/>
    </row>
    <row r="32" spans="1:8" s="21" customFormat="1" hidden="1" x14ac:dyDescent="0.3">
      <c r="A32" s="26" t="str">
        <f>A26</f>
        <v>Standing</v>
      </c>
      <c r="B32" s="21" t="s">
        <v>25</v>
      </c>
      <c r="C32" s="21" t="s">
        <v>29</v>
      </c>
      <c r="D32" s="64">
        <f>IF($C640="$/pa",D640*100,D640)</f>
        <v>0</v>
      </c>
      <c r="E32" s="64">
        <f>IF($C640="$/pa",E640*100,E640)</f>
        <v>0</v>
      </c>
      <c r="F32" s="64">
        <f>IF($C640="$/pa",F640*100,F640)</f>
        <v>0</v>
      </c>
      <c r="G32" s="64">
        <f>IF($C640="$/pa",G640*100,G640)</f>
        <v>0</v>
      </c>
      <c r="H32" s="64">
        <f>IF($C640="$/pa",H640*100,H640)</f>
        <v>0</v>
      </c>
    </row>
    <row r="33" spans="1:8" s="21" customFormat="1" hidden="1" x14ac:dyDescent="0.3">
      <c r="A33" s="26" t="str">
        <f>A27</f>
        <v>Block 1</v>
      </c>
      <c r="B33" s="21" t="s">
        <v>25</v>
      </c>
      <c r="C33" s="21" t="s">
        <v>11</v>
      </c>
      <c r="D33" s="64">
        <f t="shared" ref="D33:H36" si="5">IF($C641="$/kwh",D641*100,IF($C641="$/mwh",D641*100/1000,D641))</f>
        <v>0</v>
      </c>
      <c r="E33" s="64">
        <f t="shared" si="5"/>
        <v>0</v>
      </c>
      <c r="F33" s="64">
        <f t="shared" si="5"/>
        <v>0</v>
      </c>
      <c r="G33" s="64">
        <f t="shared" si="5"/>
        <v>0</v>
      </c>
      <c r="H33" s="64">
        <f t="shared" si="5"/>
        <v>0</v>
      </c>
    </row>
    <row r="34" spans="1:8" s="21" customFormat="1" hidden="1" x14ac:dyDescent="0.3">
      <c r="A34" s="26" t="str">
        <f>A28</f>
        <v>Block 2</v>
      </c>
      <c r="B34" s="21" t="s">
        <v>25</v>
      </c>
      <c r="C34" s="21" t="s">
        <v>11</v>
      </c>
      <c r="D34" s="64">
        <f t="shared" si="5"/>
        <v>0</v>
      </c>
      <c r="E34" s="64">
        <f t="shared" si="5"/>
        <v>0</v>
      </c>
      <c r="F34" s="64">
        <f t="shared" si="5"/>
        <v>0</v>
      </c>
      <c r="G34" s="64">
        <f t="shared" si="5"/>
        <v>0</v>
      </c>
      <c r="H34" s="64">
        <f t="shared" si="5"/>
        <v>0</v>
      </c>
    </row>
    <row r="35" spans="1:8" s="21" customFormat="1" hidden="1" x14ac:dyDescent="0.3">
      <c r="A35" s="26" t="str">
        <f>A29</f>
        <v>Block 3</v>
      </c>
      <c r="B35" s="21" t="s">
        <v>25</v>
      </c>
      <c r="C35" s="21" t="s">
        <v>11</v>
      </c>
      <c r="D35" s="64">
        <f t="shared" si="5"/>
        <v>0</v>
      </c>
      <c r="E35" s="64">
        <f t="shared" si="5"/>
        <v>0</v>
      </c>
      <c r="F35" s="64">
        <f t="shared" si="5"/>
        <v>0</v>
      </c>
      <c r="G35" s="64">
        <f t="shared" si="5"/>
        <v>0</v>
      </c>
      <c r="H35" s="64">
        <f t="shared" si="5"/>
        <v>0</v>
      </c>
    </row>
    <row r="36" spans="1:8" s="21" customFormat="1" hidden="1" x14ac:dyDescent="0.3">
      <c r="A36" s="26" t="str">
        <f>A30</f>
        <v>Block 4</v>
      </c>
      <c r="B36" s="21" t="s">
        <v>25</v>
      </c>
      <c r="C36" s="21" t="s">
        <v>11</v>
      </c>
      <c r="D36" s="64">
        <f t="shared" si="5"/>
        <v>0</v>
      </c>
      <c r="E36" s="64">
        <f t="shared" si="5"/>
        <v>0</v>
      </c>
      <c r="F36" s="64">
        <f t="shared" si="5"/>
        <v>0</v>
      </c>
      <c r="G36" s="64">
        <f t="shared" si="5"/>
        <v>0</v>
      </c>
      <c r="H36" s="64">
        <f t="shared" si="5"/>
        <v>0</v>
      </c>
    </row>
    <row r="37" spans="1:8" s="21" customFormat="1" hidden="1" x14ac:dyDescent="0.3"/>
    <row r="38" spans="1:8" s="23" customFormat="1" ht="18.75" x14ac:dyDescent="0.3">
      <c r="A38" s="22" t="s">
        <v>12</v>
      </c>
    </row>
    <row r="39" spans="1:8" s="21" customFormat="1" x14ac:dyDescent="0.3">
      <c r="A39" s="24" t="str">
        <f>Dist1</f>
        <v>Northern Territory</v>
      </c>
    </row>
    <row r="40" spans="1:8" s="21" customFormat="1" x14ac:dyDescent="0.3">
      <c r="A40" s="21" t="s">
        <v>18</v>
      </c>
      <c r="B40" s="21" t="s">
        <v>25</v>
      </c>
      <c r="C40" s="21" t="s">
        <v>29</v>
      </c>
      <c r="D40" s="64">
        <f>IF($C651="$/pa",D651*100,D651)-IF('Input Global'!$B$63="yes",D79,0)</f>
        <v>0</v>
      </c>
      <c r="E40" s="64">
        <f>IF($C651="$/pa",E651*100,E651)-IF('Input Global'!$B$63="yes",E79,0)</f>
        <v>0</v>
      </c>
      <c r="F40" s="64">
        <f>IF($C651="$/pa",F651*100,F651)-IF('Input Global'!$B$63="yes",F79,0)</f>
        <v>0</v>
      </c>
      <c r="G40" s="64">
        <f>IF($C651="$/pa",G651*100,G651)-IF('Input Global'!$B$63="yes",G79,0)</f>
        <v>0</v>
      </c>
      <c r="H40" s="64">
        <f>IF($C651="$/pa",H651*100,H651)-IF('Input Global'!$B$63="yes",H79,0)</f>
        <v>0</v>
      </c>
    </row>
    <row r="41" spans="1:8" s="21" customFormat="1" x14ac:dyDescent="0.3">
      <c r="A41" s="21" t="s">
        <v>19</v>
      </c>
      <c r="B41" s="21" t="s">
        <v>25</v>
      </c>
      <c r="C41" s="21" t="s">
        <v>11</v>
      </c>
      <c r="D41" s="64">
        <f>IF($C652="$/kwh",D652*100,IF($C652="$/mwh",D652*100/1000,D652))-IF('Input Global'!$B$63="yes",D80,0)</f>
        <v>0</v>
      </c>
      <c r="E41" s="64">
        <f>IF($C652="$/kwh",E652*100,IF($C652="$/mwh",E652*100/1000,E652))-IF('Input Global'!$B$63="yes",E80,0)</f>
        <v>7.5485454545454536</v>
      </c>
      <c r="F41" s="64">
        <f>IF($C652="$/kwh",F652*100,IF($C652="$/mwh",F652*100/1000,F652))-IF('Input Global'!$B$63="yes",F80,0)</f>
        <v>7.9163636363636369</v>
      </c>
      <c r="G41" s="64">
        <f>IF($C652="$/kwh",G652*100,IF($C652="$/mwh",G652*100/1000,G652))-IF('Input Global'!$B$63="yes",G80,0)</f>
        <v>8.3192727272727272</v>
      </c>
      <c r="H41" s="64">
        <f>IF($C652="$/kwh",H652*100,IF($C652="$/mwh",H652*100/1000,H652))-IF('Input Global'!$B$63="yes",H80,0)</f>
        <v>8.5997362090909064</v>
      </c>
    </row>
    <row r="42" spans="1:8" s="21" customFormat="1" x14ac:dyDescent="0.3">
      <c r="A42" s="21" t="s">
        <v>20</v>
      </c>
      <c r="B42" s="21" t="s">
        <v>25</v>
      </c>
      <c r="C42" s="21" t="s">
        <v>11</v>
      </c>
      <c r="D42" s="64">
        <f>IF($C653="$/kwh",D653*100,IF($C653="$/mwh",D653*100/1000,D653))-IF('Input Global'!$B$63="yes",D81,0)</f>
        <v>0</v>
      </c>
      <c r="E42" s="64">
        <f>IF($C653="$/kwh",E653*100,IF($C653="$/mwh",E653*100/1000,E653))-IF('Input Global'!$B$63="yes",E81,0)</f>
        <v>0</v>
      </c>
      <c r="F42" s="64">
        <f>IF($C653="$/kwh",F653*100,IF($C653="$/mwh",F653*100/1000,F653))-IF('Input Global'!$B$63="yes",F81,0)</f>
        <v>0</v>
      </c>
      <c r="G42" s="64">
        <f>IF($C653="$/kwh",G653*100,IF($C653="$/mwh",G653*100/1000,G653))-IF('Input Global'!$B$63="yes",G81,0)</f>
        <v>0</v>
      </c>
      <c r="H42" s="64">
        <f>IF($C653="$/kwh",H653*100,IF($C653="$/mwh",H653*100/1000,H653))-IF('Input Global'!$B$63="yes",H81,0)</f>
        <v>0</v>
      </c>
    </row>
    <row r="43" spans="1:8" s="21" customFormat="1" x14ac:dyDescent="0.3">
      <c r="A43" s="21" t="s">
        <v>21</v>
      </c>
      <c r="B43" s="21" t="s">
        <v>25</v>
      </c>
      <c r="C43" s="21" t="s">
        <v>11</v>
      </c>
      <c r="D43" s="64">
        <f>IF($C654="$/kwh",D654*100,IF($C654="$/mwh",D654*100/1000,D654))-IF('Input Global'!$B$63="yes",D82,0)</f>
        <v>0</v>
      </c>
      <c r="E43" s="64">
        <f>IF($C654="$/kwh",E654*100,IF($C654="$/mwh",E654*100/1000,E654))-IF('Input Global'!$B$63="yes",E82,0)</f>
        <v>0</v>
      </c>
      <c r="F43" s="64">
        <f>IF($C654="$/kwh",F654*100,IF($C654="$/mwh",F654*100/1000,F654))-IF('Input Global'!$B$63="yes",F82,0)</f>
        <v>0</v>
      </c>
      <c r="G43" s="64">
        <f>IF($C654="$/kwh",G654*100,IF($C654="$/mwh",G654*100/1000,G654))-IF('Input Global'!$B$63="yes",G82,0)</f>
        <v>0</v>
      </c>
      <c r="H43" s="64">
        <f>IF($C654="$/kwh",H654*100,IF($C654="$/mwh",H654*100/1000,H654))-IF('Input Global'!$B$63="yes",H82,0)</f>
        <v>0</v>
      </c>
    </row>
    <row r="44" spans="1:8" s="21" customFormat="1" x14ac:dyDescent="0.3">
      <c r="A44" s="21" t="s">
        <v>83</v>
      </c>
      <c r="B44" s="21" t="s">
        <v>25</v>
      </c>
      <c r="C44" s="21" t="s">
        <v>11</v>
      </c>
      <c r="D44" s="64">
        <f>IF($C655="$/kwh",D655*100,IF($C655="$/mwh",D655*100/1000,D655))-IF('Input Global'!$B$63="yes",D83,0)</f>
        <v>0</v>
      </c>
      <c r="E44" s="64">
        <f>IF($C655="$/kwh",E655*100,IF($C655="$/mwh",E655*100/1000,E655))-IF('Input Global'!$B$63="yes",E83,0)</f>
        <v>0</v>
      </c>
      <c r="F44" s="64">
        <f>IF($C655="$/kwh",F655*100,IF($C655="$/mwh",F655*100/1000,F655))-IF('Input Global'!$B$63="yes",F83,0)</f>
        <v>0</v>
      </c>
      <c r="G44" s="64">
        <f>IF($C655="$/kwh",G655*100,IF($C655="$/mwh",G655*100/1000,G655))-IF('Input Global'!$B$63="yes",G83,0)</f>
        <v>0</v>
      </c>
      <c r="H44" s="64">
        <f>IF($C655="$/kwh",H655*100,IF($C655="$/mwh",H655*100/1000,H655))-IF('Input Global'!$B$63="yes",H83,0)</f>
        <v>0</v>
      </c>
    </row>
    <row r="45" spans="1:8" s="21" customFormat="1" hidden="1" x14ac:dyDescent="0.3">
      <c r="A45" s="24" t="str">
        <f>Dist2</f>
        <v>blank</v>
      </c>
      <c r="D45" s="25"/>
      <c r="E45" s="25"/>
      <c r="F45" s="25"/>
      <c r="G45" s="25"/>
      <c r="H45" s="25"/>
    </row>
    <row r="46" spans="1:8" s="21" customFormat="1" hidden="1" x14ac:dyDescent="0.3">
      <c r="A46" s="21" t="str">
        <f>A40</f>
        <v>Standing</v>
      </c>
      <c r="B46" s="21" t="s">
        <v>25</v>
      </c>
      <c r="C46" s="21" t="s">
        <v>29</v>
      </c>
      <c r="D46" s="64">
        <f>IF($C660="$/pa",D660*100,D660)-IF('Input Global'!$B$63="yes",D85,0)</f>
        <v>0</v>
      </c>
      <c r="E46" s="64">
        <f>IF($C660="$/pa",E660*100,E660)-IF('Input Global'!$B$63="yes",E85,0)</f>
        <v>0</v>
      </c>
      <c r="F46" s="64">
        <f>IF($C660="$/pa",F660*100,F660)-IF('Input Global'!$B$63="yes",F85,0)</f>
        <v>0</v>
      </c>
      <c r="G46" s="64">
        <f>IF($C660="$/pa",G660*100,G660)-IF('Input Global'!$B$63="yes",G85,0)</f>
        <v>0</v>
      </c>
      <c r="H46" s="64">
        <f>IF($C660="$/pa",H660*100,H660)-IF('Input Global'!$B$63="yes",H85,0)</f>
        <v>0</v>
      </c>
    </row>
    <row r="47" spans="1:8" s="21" customFormat="1" hidden="1" x14ac:dyDescent="0.3">
      <c r="A47" s="21" t="str">
        <f>A41</f>
        <v>Block 1</v>
      </c>
      <c r="B47" s="21" t="s">
        <v>25</v>
      </c>
      <c r="C47" s="21" t="s">
        <v>11</v>
      </c>
      <c r="D47" s="64">
        <f>IF($C661="$/kwh",D661*100,IF($C661="$/mwh",D661*100/1000,D661))-IF('Input Global'!$B$63="yes",D86,0)</f>
        <v>0</v>
      </c>
      <c r="E47" s="64">
        <f>IF($C661="$/kwh",E661*100,IF($C661="$/mwh",E661*100/1000,E661))-IF('Input Global'!$B$63="yes",E86,0)</f>
        <v>0</v>
      </c>
      <c r="F47" s="64">
        <f>IF($C661="$/kwh",F661*100,IF($C661="$/mwh",F661*100/1000,F661))-IF('Input Global'!$B$63="yes",F86,0)</f>
        <v>0</v>
      </c>
      <c r="G47" s="64">
        <f>IF($C661="$/kwh",G661*100,IF($C661="$/mwh",G661*100/1000,G661))-IF('Input Global'!$B$63="yes",G86,0)</f>
        <v>0</v>
      </c>
      <c r="H47" s="64">
        <f>IF($C661="$/kwh",H661*100,IF($C661="$/mwh",H661*100/1000,H661))-IF('Input Global'!$B$63="yes",H86,0)</f>
        <v>0</v>
      </c>
    </row>
    <row r="48" spans="1:8" s="21" customFormat="1" hidden="1" x14ac:dyDescent="0.3">
      <c r="A48" s="21" t="str">
        <f>A42</f>
        <v>Block 2</v>
      </c>
      <c r="B48" s="21" t="s">
        <v>25</v>
      </c>
      <c r="C48" s="21" t="s">
        <v>11</v>
      </c>
      <c r="D48" s="64">
        <f>IF($C662="$/kwh",D662*100,IF($C662="$/mwh",D662*100/1000,D662))-IF('Input Global'!$B$63="yes",D87,0)</f>
        <v>0</v>
      </c>
      <c r="E48" s="64">
        <f>IF($C662="$/kwh",E662*100,IF($C662="$/mwh",E662*100/1000,E662))-IF('Input Global'!$B$63="yes",E87,0)</f>
        <v>0</v>
      </c>
      <c r="F48" s="64">
        <f>IF($C662="$/kwh",F662*100,IF($C662="$/mwh",F662*100/1000,F662))-IF('Input Global'!$B$63="yes",F87,0)</f>
        <v>0</v>
      </c>
      <c r="G48" s="64">
        <f>IF($C662="$/kwh",G662*100,IF($C662="$/mwh",G662*100/1000,G662))-IF('Input Global'!$B$63="yes",G87,0)</f>
        <v>0</v>
      </c>
      <c r="H48" s="64">
        <f>IF($C662="$/kwh",H662*100,IF($C662="$/mwh",H662*100/1000,H662))-IF('Input Global'!$B$63="yes",H87,0)</f>
        <v>0</v>
      </c>
    </row>
    <row r="49" spans="1:8" s="21" customFormat="1" hidden="1" x14ac:dyDescent="0.3">
      <c r="A49" s="21" t="str">
        <f>A43</f>
        <v>Block 3</v>
      </c>
      <c r="B49" s="21" t="s">
        <v>25</v>
      </c>
      <c r="C49" s="21" t="s">
        <v>11</v>
      </c>
      <c r="D49" s="64">
        <f>IF($C663="$/kwh",D663*100,IF($C663="$/mwh",D663*100/1000,D663))-IF('Input Global'!$B$63="yes",D88,0)</f>
        <v>0</v>
      </c>
      <c r="E49" s="64">
        <f>IF($C663="$/kwh",E663*100,IF($C663="$/mwh",E663*100/1000,E663))-IF('Input Global'!$B$63="yes",E88,0)</f>
        <v>0</v>
      </c>
      <c r="F49" s="64">
        <f>IF($C663="$/kwh",F663*100,IF($C663="$/mwh",F663*100/1000,F663))-IF('Input Global'!$B$63="yes",F88,0)</f>
        <v>0</v>
      </c>
      <c r="G49" s="64">
        <f>IF($C663="$/kwh",G663*100,IF($C663="$/mwh",G663*100/1000,G663))-IF('Input Global'!$B$63="yes",G88,0)</f>
        <v>0</v>
      </c>
      <c r="H49" s="64">
        <f>IF($C663="$/kwh",H663*100,IF($C663="$/mwh",H663*100/1000,H663))-IF('Input Global'!$B$63="yes",H88,0)</f>
        <v>0</v>
      </c>
    </row>
    <row r="50" spans="1:8" s="21" customFormat="1" hidden="1" x14ac:dyDescent="0.3">
      <c r="A50" s="21" t="str">
        <f>A44</f>
        <v>Block 4</v>
      </c>
      <c r="B50" s="21" t="s">
        <v>25</v>
      </c>
      <c r="C50" s="21" t="s">
        <v>11</v>
      </c>
      <c r="D50" s="64">
        <f>IF($C664="$/kwh",D664*100,IF($C664="$/mwh",D664*100/1000,D664))-IF('Input Global'!$B$63="yes",D89,0)</f>
        <v>0</v>
      </c>
      <c r="E50" s="64">
        <f>IF($C664="$/kwh",E664*100,IF($C664="$/mwh",E664*100/1000,E664))-IF('Input Global'!$B$63="yes",E89,0)</f>
        <v>0</v>
      </c>
      <c r="F50" s="64">
        <f>IF($C664="$/kwh",F664*100,IF($C664="$/mwh",F664*100/1000,F664))-IF('Input Global'!$B$63="yes",F89,0)</f>
        <v>0</v>
      </c>
      <c r="G50" s="64">
        <f>IF($C664="$/kwh",G664*100,IF($C664="$/mwh",G664*100/1000,G664))-IF('Input Global'!$B$63="yes",G89,0)</f>
        <v>0</v>
      </c>
      <c r="H50" s="64">
        <f>IF($C664="$/kwh",H664*100,IF($C664="$/mwh",H664*100/1000,H664))-IF('Input Global'!$B$63="yes",H89,0)</f>
        <v>0</v>
      </c>
    </row>
    <row r="51" spans="1:8" s="21" customFormat="1" hidden="1" x14ac:dyDescent="0.3">
      <c r="A51" s="24" t="str">
        <f>Dist3</f>
        <v>blank</v>
      </c>
      <c r="D51" s="25"/>
      <c r="E51" s="25"/>
      <c r="F51" s="25"/>
      <c r="G51" s="25"/>
      <c r="H51" s="25"/>
    </row>
    <row r="52" spans="1:8" s="21" customFormat="1" hidden="1" x14ac:dyDescent="0.3">
      <c r="A52" s="21" t="str">
        <f>A46</f>
        <v>Standing</v>
      </c>
      <c r="B52" s="21" t="s">
        <v>25</v>
      </c>
      <c r="C52" s="21" t="s">
        <v>29</v>
      </c>
      <c r="D52" s="64">
        <f>IF($C669="$/pa",D669*100,D669)-IF('Input Global'!$B$63="yes",D91,0)</f>
        <v>0</v>
      </c>
      <c r="E52" s="64">
        <f>IF($C669="$/pa",E669*100,E669)-IF('Input Global'!$B$63="yes",E91,0)</f>
        <v>0</v>
      </c>
      <c r="F52" s="64">
        <f>IF($C669="$/pa",F669*100,F669)-IF('Input Global'!$B$63="yes",F91,0)</f>
        <v>0</v>
      </c>
      <c r="G52" s="64">
        <f>IF($C669="$/pa",G669*100,G669)-IF('Input Global'!$B$63="yes",G91,0)</f>
        <v>0</v>
      </c>
      <c r="H52" s="64">
        <f>IF($C669="$/pa",H669*100,H669)-IF('Input Global'!$B$63="yes",H91,0)</f>
        <v>0</v>
      </c>
    </row>
    <row r="53" spans="1:8" s="21" customFormat="1" hidden="1" x14ac:dyDescent="0.3">
      <c r="A53" s="21" t="str">
        <f>A47</f>
        <v>Block 1</v>
      </c>
      <c r="B53" s="21" t="s">
        <v>25</v>
      </c>
      <c r="C53" s="21" t="s">
        <v>11</v>
      </c>
      <c r="D53" s="64">
        <f>IF($C670="$/kwh",D670*100,IF($C670="$/mwh",D670*100/1000,D670))-IF('Input Global'!$B$63="yes",D92,0)</f>
        <v>0</v>
      </c>
      <c r="E53" s="64">
        <f>IF($C670="$/kwh",E670*100,IF($C670="$/mwh",E670*100/1000,E670))-IF('Input Global'!$B$63="yes",E92,0)</f>
        <v>0</v>
      </c>
      <c r="F53" s="64">
        <f>IF($C670="$/kwh",F670*100,IF($C670="$/mwh",F670*100/1000,F670))-IF('Input Global'!$B$63="yes",F92,0)</f>
        <v>0</v>
      </c>
      <c r="G53" s="64">
        <f>IF($C670="$/kwh",G670*100,IF($C670="$/mwh",G670*100/1000,G670))-IF('Input Global'!$B$63="yes",G92,0)</f>
        <v>0</v>
      </c>
      <c r="H53" s="64">
        <f>IF($C670="$/kwh",H670*100,IF($C670="$/mwh",H670*100/1000,H670))-IF('Input Global'!$B$63="yes",H92,0)</f>
        <v>0</v>
      </c>
    </row>
    <row r="54" spans="1:8" s="21" customFormat="1" hidden="1" x14ac:dyDescent="0.3">
      <c r="A54" s="21" t="str">
        <f>A48</f>
        <v>Block 2</v>
      </c>
      <c r="B54" s="21" t="s">
        <v>25</v>
      </c>
      <c r="C54" s="21" t="s">
        <v>11</v>
      </c>
      <c r="D54" s="64">
        <f>IF($C671="$/kwh",D671*100,IF($C671="$/mwh",D671*100/1000,D671))-IF('Input Global'!$B$63="yes",D93,0)</f>
        <v>0</v>
      </c>
      <c r="E54" s="64">
        <f>IF($C671="$/kwh",E671*100,IF($C671="$/mwh",E671*100/1000,E671))-IF('Input Global'!$B$63="yes",E93,0)</f>
        <v>0</v>
      </c>
      <c r="F54" s="64">
        <f>IF($C671="$/kwh",F671*100,IF($C671="$/mwh",F671*100/1000,F671))-IF('Input Global'!$B$63="yes",F93,0)</f>
        <v>0</v>
      </c>
      <c r="G54" s="64">
        <f>IF($C671="$/kwh",G671*100,IF($C671="$/mwh",G671*100/1000,G671))-IF('Input Global'!$B$63="yes",G93,0)</f>
        <v>0</v>
      </c>
      <c r="H54" s="64">
        <f>IF($C671="$/kwh",H671*100,IF($C671="$/mwh",H671*100/1000,H671))-IF('Input Global'!$B$63="yes",H93,0)</f>
        <v>0</v>
      </c>
    </row>
    <row r="55" spans="1:8" s="21" customFormat="1" hidden="1" x14ac:dyDescent="0.3">
      <c r="A55" s="21" t="str">
        <f>A49</f>
        <v>Block 3</v>
      </c>
      <c r="B55" s="21" t="s">
        <v>25</v>
      </c>
      <c r="C55" s="21" t="s">
        <v>11</v>
      </c>
      <c r="D55" s="64">
        <f>IF($C672="$/kwh",D672*100,IF($C672="$/mwh",D672*100/1000,D672))-IF('Input Global'!$B$63="yes",D94,0)</f>
        <v>0</v>
      </c>
      <c r="E55" s="64">
        <f>IF($C672="$/kwh",E672*100,IF($C672="$/mwh",E672*100/1000,E672))-IF('Input Global'!$B$63="yes",E94,0)</f>
        <v>0</v>
      </c>
      <c r="F55" s="64">
        <f>IF($C672="$/kwh",F672*100,IF($C672="$/mwh",F672*100/1000,F672))-IF('Input Global'!$B$63="yes",F94,0)</f>
        <v>0</v>
      </c>
      <c r="G55" s="64">
        <f>IF($C672="$/kwh",G672*100,IF($C672="$/mwh",G672*100/1000,G672))-IF('Input Global'!$B$63="yes",G94,0)</f>
        <v>0</v>
      </c>
      <c r="H55" s="64">
        <f>IF($C672="$/kwh",H672*100,IF($C672="$/mwh",H672*100/1000,H672))-IF('Input Global'!$B$63="yes",H94,0)</f>
        <v>0</v>
      </c>
    </row>
    <row r="56" spans="1:8" s="21" customFormat="1" hidden="1" x14ac:dyDescent="0.3">
      <c r="A56" s="21" t="str">
        <f>A50</f>
        <v>Block 4</v>
      </c>
      <c r="B56" s="21" t="s">
        <v>25</v>
      </c>
      <c r="C56" s="21" t="s">
        <v>11</v>
      </c>
      <c r="D56" s="64">
        <f>IF($C673="$/kwh",D673*100,IF($C673="$/mwh",D673*100/1000,D673))-IF('Input Global'!$B$63="yes",D95,0)</f>
        <v>0</v>
      </c>
      <c r="E56" s="64">
        <f>IF($C673="$/kwh",E673*100,IF($C673="$/mwh",E673*100/1000,E673))-IF('Input Global'!$B$63="yes",E95,0)</f>
        <v>0</v>
      </c>
      <c r="F56" s="64">
        <f>IF($C673="$/kwh",F673*100,IF($C673="$/mwh",F673*100/1000,F673))-IF('Input Global'!$B$63="yes",F95,0)</f>
        <v>0</v>
      </c>
      <c r="G56" s="64">
        <f>IF($C673="$/kwh",G673*100,IF($C673="$/mwh",G673*100/1000,G673))-IF('Input Global'!$B$63="yes",G95,0)</f>
        <v>0</v>
      </c>
      <c r="H56" s="64">
        <f>IF($C673="$/kwh",H673*100,IF($C673="$/mwh",H673*100/1000,H673))-IF('Input Global'!$B$63="yes",H95,0)</f>
        <v>0</v>
      </c>
    </row>
    <row r="57" spans="1:8" s="21" customFormat="1" hidden="1" x14ac:dyDescent="0.3">
      <c r="A57" s="24" t="str">
        <f>Dist4</f>
        <v>blank</v>
      </c>
      <c r="D57" s="25"/>
      <c r="E57" s="25"/>
      <c r="F57" s="25"/>
      <c r="G57" s="25"/>
      <c r="H57" s="25"/>
    </row>
    <row r="58" spans="1:8" s="21" customFormat="1" hidden="1" x14ac:dyDescent="0.3">
      <c r="A58" s="21" t="str">
        <f>A52</f>
        <v>Standing</v>
      </c>
      <c r="B58" s="21" t="s">
        <v>25</v>
      </c>
      <c r="C58" s="21" t="s">
        <v>29</v>
      </c>
      <c r="D58" s="64">
        <f>IF($C678="$/pa",D678*100,D678)-IF('Input Global'!$B$63="yes",D97,0)</f>
        <v>0</v>
      </c>
      <c r="E58" s="89">
        <f>IF($C678="$/pa",E678*100,E678)-IF('Input Global'!$B$63="yes",E97,0)</f>
        <v>0</v>
      </c>
      <c r="F58" s="89">
        <f>IF($C678="$/pa",F678*100,F678)-IF('Input Global'!$B$63="yes",F97,0)</f>
        <v>0</v>
      </c>
      <c r="G58" s="89">
        <f>IF($C678="$/pa",G678*100,G678)-IF('Input Global'!$B$63="yes",G97,0)</f>
        <v>0</v>
      </c>
      <c r="H58" s="89">
        <f>IF($C678="$/pa",H678*100,H678)-IF('Input Global'!$B$63="yes",H97,0)</f>
        <v>0</v>
      </c>
    </row>
    <row r="59" spans="1:8" s="21" customFormat="1" hidden="1" x14ac:dyDescent="0.3">
      <c r="A59" s="21" t="str">
        <f>A53</f>
        <v>Block 1</v>
      </c>
      <c r="B59" s="21" t="s">
        <v>25</v>
      </c>
      <c r="C59" s="21" t="s">
        <v>11</v>
      </c>
      <c r="D59" s="64">
        <f>IF($C679="$/kwh",D679*100,IF($C679="$/mwh",D679*100/1000,D679))-IF('Input Global'!$B$63="yes",D98,0)</f>
        <v>0</v>
      </c>
      <c r="E59" s="89">
        <f>IF($C679="$/kwh",E679*100,IF($C679="$/mwh",E679*100/1000,E679))-IF('Input Global'!$B$63="yes",E98,0)</f>
        <v>0</v>
      </c>
      <c r="F59" s="89">
        <f>IF($C679="$/kwh",F679*100,IF($C679="$/mwh",F679*100/1000,F679))-IF('Input Global'!$B$63="yes",F98,0)</f>
        <v>0</v>
      </c>
      <c r="G59" s="89">
        <f>IF($C679="$/kwh",G679*100,IF($C679="$/mwh",G679*100/1000,G679))-IF('Input Global'!$B$63="yes",G98,0)</f>
        <v>0</v>
      </c>
      <c r="H59" s="89">
        <f>IF($C679="$/kwh",H679*100,IF($C679="$/mwh",H679*100/1000,H679))-IF('Input Global'!$B$63="yes",H98,0)</f>
        <v>0</v>
      </c>
    </row>
    <row r="60" spans="1:8" s="21" customFormat="1" hidden="1" x14ac:dyDescent="0.3">
      <c r="A60" s="21" t="str">
        <f>A54</f>
        <v>Block 2</v>
      </c>
      <c r="B60" s="21" t="s">
        <v>25</v>
      </c>
      <c r="C60" s="21" t="s">
        <v>11</v>
      </c>
      <c r="D60" s="64">
        <f>IF($C680="$/kwh",D680*100,IF($C680="$/mwh",D680*100/1000,D680))-IF('Input Global'!$B$63="yes",D99,0)</f>
        <v>0</v>
      </c>
      <c r="E60" s="89">
        <f>IF($C680="$/kwh",E680*100,IF($C680="$/mwh",E680*100/1000,E680))-IF('Input Global'!$B$63="yes",E99,0)</f>
        <v>0</v>
      </c>
      <c r="F60" s="89">
        <f>IF($C680="$/kwh",F680*100,IF($C680="$/mwh",F680*100/1000,F680))-IF('Input Global'!$B$63="yes",F99,0)</f>
        <v>0</v>
      </c>
      <c r="G60" s="89">
        <f>IF($C680="$/kwh",G680*100,IF($C680="$/mwh",G680*100/1000,G680))-IF('Input Global'!$B$63="yes",G99,0)</f>
        <v>0</v>
      </c>
      <c r="H60" s="89">
        <f>IF($C680="$/kwh",H680*100,IF($C680="$/mwh",H680*100/1000,H680))-IF('Input Global'!$B$63="yes",H99,0)</f>
        <v>0</v>
      </c>
    </row>
    <row r="61" spans="1:8" s="21" customFormat="1" hidden="1" x14ac:dyDescent="0.3">
      <c r="A61" s="21" t="str">
        <f>A55</f>
        <v>Block 3</v>
      </c>
      <c r="B61" s="21" t="s">
        <v>25</v>
      </c>
      <c r="C61" s="21" t="s">
        <v>11</v>
      </c>
      <c r="D61" s="64">
        <f>IF($C681="$/kwh",D681*100,IF($C681="$/mwh",D681*100/1000,D681))-IF('Input Global'!$B$63="yes",D100,0)</f>
        <v>0</v>
      </c>
      <c r="E61" s="89">
        <f>IF($C681="$/kwh",E681*100,IF($C681="$/mwh",E681*100/1000,E681))-IF('Input Global'!$B$63="yes",E100,0)</f>
        <v>0</v>
      </c>
      <c r="F61" s="89">
        <f>IF($C681="$/kwh",F681*100,IF($C681="$/mwh",F681*100/1000,F681))-IF('Input Global'!$B$63="yes",F100,0)</f>
        <v>0</v>
      </c>
      <c r="G61" s="89">
        <f>IF($C681="$/kwh",G681*100,IF($C681="$/mwh",G681*100/1000,G681))-IF('Input Global'!$B$63="yes",G100,0)</f>
        <v>0</v>
      </c>
      <c r="H61" s="89">
        <f>IF($C681="$/kwh",H681*100,IF($C681="$/mwh",H681*100/1000,H681))-IF('Input Global'!$B$63="yes",H100,0)</f>
        <v>0</v>
      </c>
    </row>
    <row r="62" spans="1:8" s="21" customFormat="1" hidden="1" x14ac:dyDescent="0.3">
      <c r="A62" s="21" t="str">
        <f>A56</f>
        <v>Block 4</v>
      </c>
      <c r="B62" s="21" t="s">
        <v>25</v>
      </c>
      <c r="C62" s="21" t="s">
        <v>11</v>
      </c>
      <c r="D62" s="64">
        <f>IF($C682="$/kwh",D682*100,IF($C682="$/mwh",D682*100/1000,D682))-IF('Input Global'!$B$63="yes",D101,0)</f>
        <v>0</v>
      </c>
      <c r="E62" s="89">
        <f>IF($C682="$/kwh",E682*100,IF($C682="$/mwh",E682*100/1000,E682))-IF('Input Global'!$B$63="yes",E101,0)</f>
        <v>0</v>
      </c>
      <c r="F62" s="89">
        <f>IF($C682="$/kwh",F682*100,IF($C682="$/mwh",F682*100/1000,F682))-IF('Input Global'!$B$63="yes",F101,0)</f>
        <v>0</v>
      </c>
      <c r="G62" s="89">
        <f>IF($C682="$/kwh",G682*100,IF($C682="$/mwh",G682*100/1000,G682))-IF('Input Global'!$B$63="yes",G101,0)</f>
        <v>0</v>
      </c>
      <c r="H62" s="89">
        <f>IF($C682="$/kwh",H682*100,IF($C682="$/mwh",H682*100/1000,H682))-IF('Input Global'!$B$63="yes",H101,0)</f>
        <v>0</v>
      </c>
    </row>
    <row r="63" spans="1:8" s="21" customFormat="1" hidden="1" x14ac:dyDescent="0.3">
      <c r="A63" s="24" t="str">
        <f>Dist5</f>
        <v>blank</v>
      </c>
      <c r="D63" s="25"/>
      <c r="E63" s="25"/>
      <c r="F63" s="25"/>
      <c r="G63" s="25"/>
      <c r="H63" s="25"/>
    </row>
    <row r="64" spans="1:8" s="21" customFormat="1" hidden="1" x14ac:dyDescent="0.3">
      <c r="A64" s="21" t="str">
        <f>A58</f>
        <v>Standing</v>
      </c>
      <c r="B64" s="21" t="s">
        <v>25</v>
      </c>
      <c r="C64" s="21" t="s">
        <v>29</v>
      </c>
      <c r="D64" s="64">
        <f>IF($C687="$/pa",D687*100,D687)-IF('Input Global'!$B$63="yes",D103,0)</f>
        <v>0</v>
      </c>
      <c r="E64" s="64">
        <f>IF($C687="$/pa",E687*100,E687)-IF('Input Global'!$B$63="yes",E103,0)</f>
        <v>0</v>
      </c>
      <c r="F64" s="64">
        <f>IF($C687="$/pa",F687*100,F687)-IF('Input Global'!$B$63="yes",F103,0)</f>
        <v>0</v>
      </c>
      <c r="G64" s="64">
        <f>IF($C687="$/pa",G687*100,G687)-IF('Input Global'!$B$63="yes",G103,0)</f>
        <v>0</v>
      </c>
      <c r="H64" s="64">
        <f>IF($C687="$/pa",H687*100,H687)-IF('Input Global'!$B$63="yes",H103,0)</f>
        <v>0</v>
      </c>
    </row>
    <row r="65" spans="1:8" s="21" customFormat="1" hidden="1" x14ac:dyDescent="0.3">
      <c r="A65" s="21" t="str">
        <f>A59</f>
        <v>Block 1</v>
      </c>
      <c r="B65" s="21" t="s">
        <v>25</v>
      </c>
      <c r="C65" s="21" t="s">
        <v>11</v>
      </c>
      <c r="D65" s="64">
        <f>IF($C688="$/kwh",D688*100,IF($C688="$/mwh",D688*100/1000,D688))-IF('Input Global'!$B$63="yes",D104,0)</f>
        <v>0</v>
      </c>
      <c r="E65" s="89">
        <f>IF($C688="$/kwh",E688*100,IF($C688="$/mwh",E688*100/1000,E688))-IF('Input Global'!$B$63="yes",E104,0)</f>
        <v>0</v>
      </c>
      <c r="F65" s="89">
        <f>IF($C688="$/kwh",F688*100,IF($C688="$/mwh",F688*100/1000,F688))-IF('Input Global'!$B$63="yes",F104,0)</f>
        <v>0</v>
      </c>
      <c r="G65" s="89">
        <f>IF($C688="$/kwh",G688*100,IF($C688="$/mwh",G688*100/1000,G688))-IF('Input Global'!$B$63="yes",G104,0)</f>
        <v>0</v>
      </c>
      <c r="H65" s="89">
        <f>IF($C688="$/kwh",H688*100,IF($C688="$/mwh",H688*100/1000,H688))-IF('Input Global'!$B$63="yes",H104,0)</f>
        <v>0</v>
      </c>
    </row>
    <row r="66" spans="1:8" s="21" customFormat="1" hidden="1" x14ac:dyDescent="0.3">
      <c r="A66" s="21" t="str">
        <f>A60</f>
        <v>Block 2</v>
      </c>
      <c r="B66" s="21" t="s">
        <v>25</v>
      </c>
      <c r="C66" s="21" t="s">
        <v>11</v>
      </c>
      <c r="D66" s="89">
        <f>IF($C689="$/kwh",D689*100,IF($C689="$/mwh",D689*100/1000,D689))-IF('Input Global'!$B$63="yes",D105,0)</f>
        <v>0</v>
      </c>
      <c r="E66" s="89">
        <f>IF($C689="$/kwh",E689*100,IF($C689="$/mwh",E689*100/1000,E689))-IF('Input Global'!$B$63="yes",E105,0)</f>
        <v>0</v>
      </c>
      <c r="F66" s="89">
        <f>IF($C689="$/kwh",F689*100,IF($C689="$/mwh",F689*100/1000,F689))-IF('Input Global'!$B$63="yes",F105,0)</f>
        <v>0</v>
      </c>
      <c r="G66" s="89">
        <f>IF($C689="$/kwh",G689*100,IF($C689="$/mwh",G689*100/1000,G689))-IF('Input Global'!$B$63="yes",G105,0)</f>
        <v>0</v>
      </c>
      <c r="H66" s="89">
        <f>IF($C689="$/kwh",H689*100,IF($C689="$/mwh",H689*100/1000,H689))-IF('Input Global'!$B$63="yes",H105,0)</f>
        <v>0</v>
      </c>
    </row>
    <row r="67" spans="1:8" s="21" customFormat="1" hidden="1" x14ac:dyDescent="0.3">
      <c r="A67" s="21" t="str">
        <f>A61</f>
        <v>Block 3</v>
      </c>
      <c r="B67" s="21" t="s">
        <v>25</v>
      </c>
      <c r="C67" s="21" t="s">
        <v>11</v>
      </c>
      <c r="D67" s="89">
        <f>IF($C690="$/kwh",D690*100,IF($C690="$/mwh",D690*100/1000,D690))-IF('Input Global'!$B$63="yes",D106,0)</f>
        <v>0</v>
      </c>
      <c r="E67" s="89">
        <f>IF($C690="$/kwh",E690*100,IF($C690="$/mwh",E690*100/1000,E690))-IF('Input Global'!$B$63="yes",E106,0)</f>
        <v>0</v>
      </c>
      <c r="F67" s="89">
        <f>IF($C690="$/kwh",F690*100,IF($C690="$/mwh",F690*100/1000,F690))-IF('Input Global'!$B$63="yes",F106,0)</f>
        <v>0</v>
      </c>
      <c r="G67" s="89">
        <f>IF($C690="$/kwh",G690*100,IF($C690="$/mwh",G690*100/1000,G690))-IF('Input Global'!$B$63="yes",G106,0)</f>
        <v>0</v>
      </c>
      <c r="H67" s="89">
        <f>IF($C690="$/kwh",H690*100,IF($C690="$/mwh",H690*100/1000,H690))-IF('Input Global'!$B$63="yes",H106,0)</f>
        <v>0</v>
      </c>
    </row>
    <row r="68" spans="1:8" s="21" customFormat="1" hidden="1" x14ac:dyDescent="0.3">
      <c r="A68" s="21" t="str">
        <f>A62</f>
        <v>Block 4</v>
      </c>
      <c r="B68" s="21" t="s">
        <v>25</v>
      </c>
      <c r="C68" s="21" t="s">
        <v>11</v>
      </c>
      <c r="D68" s="89">
        <f>IF($C691="$/kwh",D691*100,IF($C691="$/mwh",D691*100/1000,D691))-IF('Input Global'!$B$63="yes",D107,0)</f>
        <v>0</v>
      </c>
      <c r="E68" s="89">
        <f>IF($C691="$/kwh",E691*100,IF($C691="$/mwh",E691*100/1000,E691))-IF('Input Global'!$B$63="yes",E107,0)</f>
        <v>0</v>
      </c>
      <c r="F68" s="89">
        <f>IF($C691="$/kwh",F691*100,IF($C691="$/mwh",F691*100/1000,F691))-IF('Input Global'!$B$63="yes",F107,0)</f>
        <v>0</v>
      </c>
      <c r="G68" s="89">
        <f>IF($C691="$/kwh",G691*100,IF($C691="$/mwh",G691*100/1000,G691))-IF('Input Global'!$B$63="yes",G107,0)</f>
        <v>0</v>
      </c>
      <c r="H68" s="89">
        <f>IF($C691="$/kwh",H691*100,IF($C691="$/mwh",H691*100/1000,H691))-IF('Input Global'!$B$63="yes",H107,0)</f>
        <v>0</v>
      </c>
    </row>
    <row r="69" spans="1:8" s="21" customFormat="1" hidden="1" x14ac:dyDescent="0.3">
      <c r="D69" s="25"/>
      <c r="E69" s="25"/>
      <c r="F69" s="25"/>
      <c r="G69" s="25"/>
      <c r="H69" s="25"/>
    </row>
    <row r="70" spans="1:8" s="21" customFormat="1" hidden="1" x14ac:dyDescent="0.3">
      <c r="A70" s="8" t="s">
        <v>85</v>
      </c>
      <c r="D70" s="25"/>
      <c r="E70" s="25"/>
      <c r="F70" s="25"/>
      <c r="G70" s="25"/>
      <c r="H70" s="25"/>
    </row>
    <row r="71" spans="1:8" s="21" customFormat="1" hidden="1" x14ac:dyDescent="0.3">
      <c r="A71" s="21" t="str">
        <f>Dist1</f>
        <v>Northern Territory</v>
      </c>
      <c r="B71" s="21" t="s">
        <v>25</v>
      </c>
      <c r="C71" s="21" t="s">
        <v>29</v>
      </c>
      <c r="D71" s="65">
        <f>IF($C697="$/pa",D697*100,D697)</f>
        <v>0</v>
      </c>
      <c r="E71" s="65">
        <f>IF($C697="$/pa",E697*100,E697)</f>
        <v>0</v>
      </c>
      <c r="F71" s="65">
        <f>IF($C697="$/pa",F697*100,F697)</f>
        <v>0</v>
      </c>
      <c r="G71" s="65">
        <f>IF($C697="$/pa",G697*100,G697)</f>
        <v>0</v>
      </c>
      <c r="H71" s="65">
        <f>IF($C697="$/pa",H697*100,H697)</f>
        <v>0</v>
      </c>
    </row>
    <row r="72" spans="1:8" s="21" customFormat="1" hidden="1" x14ac:dyDescent="0.3">
      <c r="A72" s="21" t="str">
        <f>Dist2</f>
        <v>blank</v>
      </c>
      <c r="B72" s="21" t="s">
        <v>25</v>
      </c>
      <c r="C72" s="21" t="s">
        <v>29</v>
      </c>
      <c r="D72" s="65">
        <f>IF($C700="$/pa",D700*100,D700)</f>
        <v>0</v>
      </c>
      <c r="E72" s="65">
        <f>IF($C700="$/pa",E700*100,E700)</f>
        <v>0</v>
      </c>
      <c r="F72" s="65">
        <f>IF($C700="$/pa",F700*100,F700)</f>
        <v>0</v>
      </c>
      <c r="G72" s="65">
        <f>IF($C700="$/pa",G700*100,G700)</f>
        <v>0</v>
      </c>
      <c r="H72" s="65">
        <f>IF($C700="$/pa",H700*100,H700)</f>
        <v>0</v>
      </c>
    </row>
    <row r="73" spans="1:8" s="21" customFormat="1" hidden="1" x14ac:dyDescent="0.3">
      <c r="A73" s="21" t="str">
        <f>Dist3</f>
        <v>blank</v>
      </c>
      <c r="B73" s="21" t="s">
        <v>25</v>
      </c>
      <c r="C73" s="21" t="s">
        <v>29</v>
      </c>
      <c r="D73" s="65">
        <f>IF($C703="$/pa",D703*100,D703)</f>
        <v>0</v>
      </c>
      <c r="E73" s="65">
        <f>IF($C703="$/pa",E703*100,E703)</f>
        <v>0</v>
      </c>
      <c r="F73" s="65">
        <f>IF($C703="$/pa",F703*100,F703)</f>
        <v>0</v>
      </c>
      <c r="G73" s="65">
        <f>IF($C703="$/pa",G703*100,G703)</f>
        <v>0</v>
      </c>
      <c r="H73" s="65">
        <f>IF($C703="$/pa",H703*100,H703)</f>
        <v>0</v>
      </c>
    </row>
    <row r="74" spans="1:8" s="21" customFormat="1" hidden="1" x14ac:dyDescent="0.3">
      <c r="A74" s="21" t="str">
        <f>Dist4</f>
        <v>blank</v>
      </c>
      <c r="B74" s="21" t="s">
        <v>25</v>
      </c>
      <c r="C74" s="21" t="s">
        <v>29</v>
      </c>
      <c r="D74" s="65">
        <f>IF($C706="$/pa",D706*100,D706)</f>
        <v>0</v>
      </c>
      <c r="E74" s="90">
        <f>IF($C706="$/pa",E706*100,E706)</f>
        <v>0</v>
      </c>
      <c r="F74" s="90">
        <f>IF($C706="$/pa",F706*100,F706)</f>
        <v>0</v>
      </c>
      <c r="G74" s="90">
        <f>IF($C706="$/pa",G706*100,G706)</f>
        <v>0</v>
      </c>
      <c r="H74" s="90">
        <f>IF($C706="$/pa",H706*100,H706)</f>
        <v>0</v>
      </c>
    </row>
    <row r="75" spans="1:8" s="21" customFormat="1" hidden="1" x14ac:dyDescent="0.3">
      <c r="A75" s="21" t="str">
        <f>Dist5</f>
        <v>blank</v>
      </c>
      <c r="B75" s="21" t="s">
        <v>25</v>
      </c>
      <c r="C75" s="21" t="s">
        <v>29</v>
      </c>
      <c r="D75" s="90">
        <f>IF($C709="$/pa",D709*100,D709)</f>
        <v>0</v>
      </c>
      <c r="E75" s="90">
        <f>IF($C709="$/pa",E709*100,E709)</f>
        <v>0</v>
      </c>
      <c r="F75" s="90">
        <f>IF($C709="$/pa",F709*100,F709)</f>
        <v>0</v>
      </c>
      <c r="G75" s="90">
        <f>IF($C709="$/pa",G709*100,G709)</f>
        <v>0</v>
      </c>
      <c r="H75" s="90">
        <f>IF($C709="$/pa",H709*100,H709)</f>
        <v>0</v>
      </c>
    </row>
    <row r="76" spans="1:8" s="21" customFormat="1" hidden="1" x14ac:dyDescent="0.3">
      <c r="D76" s="25"/>
      <c r="E76" s="25"/>
      <c r="F76" s="25"/>
      <c r="G76" s="25"/>
      <c r="H76" s="25"/>
    </row>
    <row r="77" spans="1:8" s="21" customFormat="1" hidden="1" x14ac:dyDescent="0.3">
      <c r="A77" s="8" t="s">
        <v>13</v>
      </c>
      <c r="D77" s="25"/>
      <c r="E77" s="25"/>
      <c r="F77" s="25"/>
      <c r="G77" s="25"/>
      <c r="H77" s="25"/>
    </row>
    <row r="78" spans="1:8" s="21" customFormat="1" hidden="1" x14ac:dyDescent="0.3">
      <c r="A78" s="24" t="str">
        <f>Dist1</f>
        <v>Northern Territory</v>
      </c>
      <c r="D78" s="25"/>
      <c r="E78" s="25"/>
      <c r="F78" s="25"/>
      <c r="G78" s="25"/>
      <c r="H78" s="25"/>
    </row>
    <row r="79" spans="1:8" s="21" customFormat="1" hidden="1" x14ac:dyDescent="0.3">
      <c r="A79" s="26" t="s">
        <v>18</v>
      </c>
      <c r="B79" s="21" t="s">
        <v>25</v>
      </c>
      <c r="C79" s="21" t="s">
        <v>29</v>
      </c>
      <c r="D79" s="64">
        <f>IF($C714="$/pa",D714*100,D714)</f>
        <v>0</v>
      </c>
      <c r="E79" s="89">
        <f t="shared" ref="E79:H79" si="6">IF($C714="$/pa",E714*100,E714)</f>
        <v>0</v>
      </c>
      <c r="F79" s="89">
        <f t="shared" si="6"/>
        <v>0</v>
      </c>
      <c r="G79" s="89">
        <f t="shared" si="6"/>
        <v>0</v>
      </c>
      <c r="H79" s="89">
        <f t="shared" si="6"/>
        <v>0</v>
      </c>
    </row>
    <row r="80" spans="1:8" s="21" customFormat="1" hidden="1" x14ac:dyDescent="0.3">
      <c r="A80" s="26" t="s">
        <v>19</v>
      </c>
      <c r="B80" s="21" t="s">
        <v>25</v>
      </c>
      <c r="C80" s="21" t="s">
        <v>11</v>
      </c>
      <c r="D80" s="64">
        <f>IF($C715="$/mwh",D715*100/1000,IF($C715="$/kwh",D715*100,D715))</f>
        <v>0</v>
      </c>
      <c r="E80" s="64">
        <f>IF($C715="$/mwh",E715*100/1000,IF($C715="$/kwh",E715*100,E715))</f>
        <v>0</v>
      </c>
      <c r="F80" s="64">
        <f>IF($C715="$/mwh",F715*100/1000,IF($C715="$/kwh",F715*100,F715))</f>
        <v>0</v>
      </c>
      <c r="G80" s="64">
        <f>IF($C715="$/mwh",G715*100/1000,IF($C715="$/kwh",G715*100,G715))</f>
        <v>0</v>
      </c>
      <c r="H80" s="64">
        <f>IF($C715="$/mwh",H715*100/1000,IF($C715="$/kwh",H715*100,H715))</f>
        <v>0</v>
      </c>
    </row>
    <row r="81" spans="1:8" s="21" customFormat="1" hidden="1" x14ac:dyDescent="0.3">
      <c r="A81" s="26" t="s">
        <v>20</v>
      </c>
      <c r="B81" s="21" t="s">
        <v>25</v>
      </c>
      <c r="C81" s="21" t="s">
        <v>11</v>
      </c>
      <c r="D81" s="64">
        <f t="shared" ref="D81:H81" si="7">IF($C716="$/mwh",D716*100/1000,IF($C716="$/kwh",D716*100,D716))</f>
        <v>0</v>
      </c>
      <c r="E81" s="64">
        <f t="shared" si="7"/>
        <v>0</v>
      </c>
      <c r="F81" s="64">
        <f t="shared" si="7"/>
        <v>0</v>
      </c>
      <c r="G81" s="64">
        <f t="shared" si="7"/>
        <v>0</v>
      </c>
      <c r="H81" s="64">
        <f t="shared" si="7"/>
        <v>0</v>
      </c>
    </row>
    <row r="82" spans="1:8" s="21" customFormat="1" hidden="1" x14ac:dyDescent="0.3">
      <c r="A82" s="26" t="s">
        <v>21</v>
      </c>
      <c r="B82" s="21" t="s">
        <v>25</v>
      </c>
      <c r="C82" s="21" t="s">
        <v>11</v>
      </c>
      <c r="D82" s="64">
        <f t="shared" ref="D82:H83" si="8">IF($C717="$/mwh",D717*100/1000,IF($C717="$/kwh",D717*100,D717))</f>
        <v>0</v>
      </c>
      <c r="E82" s="64">
        <f t="shared" si="8"/>
        <v>0</v>
      </c>
      <c r="F82" s="64">
        <f t="shared" si="8"/>
        <v>0</v>
      </c>
      <c r="G82" s="64">
        <f t="shared" si="8"/>
        <v>0</v>
      </c>
      <c r="H82" s="64">
        <f t="shared" si="8"/>
        <v>0</v>
      </c>
    </row>
    <row r="83" spans="1:8" s="21" customFormat="1" hidden="1" x14ac:dyDescent="0.3">
      <c r="A83" s="26" t="s">
        <v>83</v>
      </c>
      <c r="B83" s="21" t="s">
        <v>25</v>
      </c>
      <c r="C83" s="21" t="s">
        <v>11</v>
      </c>
      <c r="D83" s="64">
        <f t="shared" si="8"/>
        <v>0</v>
      </c>
      <c r="E83" s="64">
        <f t="shared" si="8"/>
        <v>0</v>
      </c>
      <c r="F83" s="64">
        <f t="shared" si="8"/>
        <v>0</v>
      </c>
      <c r="G83" s="64">
        <f t="shared" si="8"/>
        <v>0</v>
      </c>
      <c r="H83" s="64">
        <f t="shared" si="8"/>
        <v>0</v>
      </c>
    </row>
    <row r="84" spans="1:8" s="21" customFormat="1" hidden="1" x14ac:dyDescent="0.3">
      <c r="A84" s="24" t="str">
        <f>Dist2</f>
        <v>blank</v>
      </c>
      <c r="D84" s="25"/>
      <c r="E84" s="25"/>
      <c r="F84" s="25"/>
      <c r="G84" s="25"/>
      <c r="H84" s="25"/>
    </row>
    <row r="85" spans="1:8" s="21" customFormat="1" hidden="1" x14ac:dyDescent="0.3">
      <c r="A85" s="26" t="str">
        <f>A79</f>
        <v>Standing</v>
      </c>
      <c r="B85" s="21" t="s">
        <v>25</v>
      </c>
      <c r="C85" s="21" t="s">
        <v>29</v>
      </c>
      <c r="D85" s="64">
        <f>IF($C720="$/pa",D720*100,D720)</f>
        <v>0</v>
      </c>
      <c r="E85" s="89">
        <f t="shared" ref="E85:H85" si="9">IF($C720="$/pa",E720*100,E720)</f>
        <v>0</v>
      </c>
      <c r="F85" s="89">
        <f t="shared" si="9"/>
        <v>0</v>
      </c>
      <c r="G85" s="89">
        <f t="shared" si="9"/>
        <v>0</v>
      </c>
      <c r="H85" s="89">
        <f t="shared" si="9"/>
        <v>0</v>
      </c>
    </row>
    <row r="86" spans="1:8" s="21" customFormat="1" hidden="1" x14ac:dyDescent="0.3">
      <c r="A86" s="26" t="str">
        <f>A80</f>
        <v>Block 1</v>
      </c>
      <c r="B86" s="21" t="s">
        <v>25</v>
      </c>
      <c r="C86" s="21" t="s">
        <v>11</v>
      </c>
      <c r="D86" s="64">
        <f t="shared" ref="D86:H86" si="10">IF($C721="$/mwh",D721*100/1000,IF($C721="$/kwh",D721*100,D721))</f>
        <v>0</v>
      </c>
      <c r="E86" s="64">
        <f t="shared" si="10"/>
        <v>0</v>
      </c>
      <c r="F86" s="64">
        <f t="shared" si="10"/>
        <v>0</v>
      </c>
      <c r="G86" s="64">
        <f t="shared" si="10"/>
        <v>0</v>
      </c>
      <c r="H86" s="64">
        <f t="shared" si="10"/>
        <v>0</v>
      </c>
    </row>
    <row r="87" spans="1:8" s="21" customFormat="1" hidden="1" x14ac:dyDescent="0.3">
      <c r="A87" s="26" t="str">
        <f>A81</f>
        <v>Block 2</v>
      </c>
      <c r="B87" s="21" t="s">
        <v>25</v>
      </c>
      <c r="C87" s="21" t="s">
        <v>11</v>
      </c>
      <c r="D87" s="64">
        <f t="shared" ref="D87:H87" si="11">IF($C722="$/mwh",D722*100/1000,IF($C722="$/kwh",D722*100,D722))</f>
        <v>0</v>
      </c>
      <c r="E87" s="64">
        <f t="shared" si="11"/>
        <v>0</v>
      </c>
      <c r="F87" s="64">
        <f t="shared" si="11"/>
        <v>0</v>
      </c>
      <c r="G87" s="64">
        <f t="shared" si="11"/>
        <v>0</v>
      </c>
      <c r="H87" s="64">
        <f t="shared" si="11"/>
        <v>0</v>
      </c>
    </row>
    <row r="88" spans="1:8" s="21" customFormat="1" hidden="1" x14ac:dyDescent="0.3">
      <c r="A88" s="26" t="str">
        <f>A82</f>
        <v>Block 3</v>
      </c>
      <c r="B88" s="21" t="s">
        <v>25</v>
      </c>
      <c r="C88" s="21" t="s">
        <v>11</v>
      </c>
      <c r="D88" s="64">
        <f t="shared" ref="D88:H89" si="12">IF($C723="$/mwh",D723*100/1000,IF($C723="$/kwh",D723*100,D723))</f>
        <v>0</v>
      </c>
      <c r="E88" s="64">
        <f t="shared" si="12"/>
        <v>0</v>
      </c>
      <c r="F88" s="64">
        <f t="shared" si="12"/>
        <v>0</v>
      </c>
      <c r="G88" s="64">
        <f t="shared" si="12"/>
        <v>0</v>
      </c>
      <c r="H88" s="64">
        <f t="shared" si="12"/>
        <v>0</v>
      </c>
    </row>
    <row r="89" spans="1:8" s="21" customFormat="1" hidden="1" x14ac:dyDescent="0.3">
      <c r="A89" s="26" t="str">
        <f>A83</f>
        <v>Block 4</v>
      </c>
      <c r="B89" s="21" t="s">
        <v>25</v>
      </c>
      <c r="C89" s="21" t="s">
        <v>11</v>
      </c>
      <c r="D89" s="64">
        <f t="shared" si="12"/>
        <v>0</v>
      </c>
      <c r="E89" s="64">
        <f t="shared" si="12"/>
        <v>0</v>
      </c>
      <c r="F89" s="64">
        <f t="shared" si="12"/>
        <v>0</v>
      </c>
      <c r="G89" s="64">
        <f t="shared" si="12"/>
        <v>0</v>
      </c>
      <c r="H89" s="64">
        <f t="shared" si="12"/>
        <v>0</v>
      </c>
    </row>
    <row r="90" spans="1:8" s="21" customFormat="1" hidden="1" x14ac:dyDescent="0.3">
      <c r="A90" s="24" t="str">
        <f>Dist3</f>
        <v>blank</v>
      </c>
      <c r="D90" s="25"/>
      <c r="E90" s="25"/>
      <c r="F90" s="25"/>
      <c r="G90" s="25"/>
      <c r="H90" s="25"/>
    </row>
    <row r="91" spans="1:8" s="21" customFormat="1" hidden="1" x14ac:dyDescent="0.3">
      <c r="A91" s="26" t="str">
        <f>A85</f>
        <v>Standing</v>
      </c>
      <c r="B91" s="21" t="s">
        <v>25</v>
      </c>
      <c r="C91" s="21" t="s">
        <v>29</v>
      </c>
      <c r="D91" s="64">
        <f>IF($C726="$/pa",D726*100,D726)</f>
        <v>0</v>
      </c>
      <c r="E91" s="89">
        <f t="shared" ref="E91:H91" si="13">IF($C726="$/pa",E726*100,E726)</f>
        <v>0</v>
      </c>
      <c r="F91" s="89">
        <f t="shared" si="13"/>
        <v>0</v>
      </c>
      <c r="G91" s="89">
        <f t="shared" si="13"/>
        <v>0</v>
      </c>
      <c r="H91" s="89">
        <f t="shared" si="13"/>
        <v>0</v>
      </c>
    </row>
    <row r="92" spans="1:8" s="21" customFormat="1" hidden="1" x14ac:dyDescent="0.3">
      <c r="A92" s="26" t="str">
        <f>A86</f>
        <v>Block 1</v>
      </c>
      <c r="B92" s="21" t="s">
        <v>25</v>
      </c>
      <c r="C92" s="21" t="s">
        <v>11</v>
      </c>
      <c r="D92" s="64">
        <f t="shared" ref="D92:H92" si="14">IF($C727="$/mwh",D727*100/1000,IF($C727="$/kwh",D727*100,D727))</f>
        <v>0</v>
      </c>
      <c r="E92" s="64">
        <f t="shared" si="14"/>
        <v>0</v>
      </c>
      <c r="F92" s="64">
        <f t="shared" si="14"/>
        <v>0</v>
      </c>
      <c r="G92" s="64">
        <f t="shared" si="14"/>
        <v>0</v>
      </c>
      <c r="H92" s="64">
        <f t="shared" si="14"/>
        <v>0</v>
      </c>
    </row>
    <row r="93" spans="1:8" s="21" customFormat="1" hidden="1" x14ac:dyDescent="0.3">
      <c r="A93" s="26" t="str">
        <f>A87</f>
        <v>Block 2</v>
      </c>
      <c r="B93" s="21" t="s">
        <v>25</v>
      </c>
      <c r="C93" s="21" t="s">
        <v>11</v>
      </c>
      <c r="D93" s="64">
        <f t="shared" ref="D93:H93" si="15">IF($C728="$/mwh",D728*100/1000,IF($C728="$/kwh",D728*100,D728))</f>
        <v>0</v>
      </c>
      <c r="E93" s="64">
        <f t="shared" si="15"/>
        <v>0</v>
      </c>
      <c r="F93" s="64">
        <f t="shared" si="15"/>
        <v>0</v>
      </c>
      <c r="G93" s="64">
        <f t="shared" si="15"/>
        <v>0</v>
      </c>
      <c r="H93" s="64">
        <f t="shared" si="15"/>
        <v>0</v>
      </c>
    </row>
    <row r="94" spans="1:8" s="21" customFormat="1" hidden="1" x14ac:dyDescent="0.3">
      <c r="A94" s="26" t="str">
        <f>A88</f>
        <v>Block 3</v>
      </c>
      <c r="B94" s="21" t="s">
        <v>25</v>
      </c>
      <c r="C94" s="21" t="s">
        <v>11</v>
      </c>
      <c r="D94" s="64">
        <f t="shared" ref="D94:H95" si="16">IF($C729="$/mwh",D729*100/1000,IF($C729="$/kwh",D729*100,D729))</f>
        <v>0</v>
      </c>
      <c r="E94" s="64">
        <f t="shared" si="16"/>
        <v>0</v>
      </c>
      <c r="F94" s="64">
        <f t="shared" si="16"/>
        <v>0</v>
      </c>
      <c r="G94" s="64">
        <f t="shared" si="16"/>
        <v>0</v>
      </c>
      <c r="H94" s="64">
        <f t="shared" si="16"/>
        <v>0</v>
      </c>
    </row>
    <row r="95" spans="1:8" s="21" customFormat="1" hidden="1" x14ac:dyDescent="0.3">
      <c r="A95" s="26" t="str">
        <f>A89</f>
        <v>Block 4</v>
      </c>
      <c r="B95" s="21" t="s">
        <v>25</v>
      </c>
      <c r="C95" s="21" t="s">
        <v>11</v>
      </c>
      <c r="D95" s="64">
        <f t="shared" si="16"/>
        <v>0</v>
      </c>
      <c r="E95" s="64">
        <f t="shared" si="16"/>
        <v>0</v>
      </c>
      <c r="F95" s="64">
        <f t="shared" si="16"/>
        <v>0</v>
      </c>
      <c r="G95" s="64">
        <f t="shared" si="16"/>
        <v>0</v>
      </c>
      <c r="H95" s="64">
        <f t="shared" si="16"/>
        <v>0</v>
      </c>
    </row>
    <row r="96" spans="1:8" s="21" customFormat="1" hidden="1" x14ac:dyDescent="0.3">
      <c r="A96" s="24" t="str">
        <f>Dist4</f>
        <v>blank</v>
      </c>
      <c r="D96" s="25"/>
      <c r="E96" s="25"/>
      <c r="F96" s="25"/>
      <c r="G96" s="25"/>
      <c r="H96" s="25"/>
    </row>
    <row r="97" spans="1:8" s="21" customFormat="1" hidden="1" x14ac:dyDescent="0.3">
      <c r="A97" s="26" t="str">
        <f>A91</f>
        <v>Standing</v>
      </c>
      <c r="B97" s="21" t="s">
        <v>25</v>
      </c>
      <c r="C97" s="21" t="s">
        <v>29</v>
      </c>
      <c r="D97" s="64">
        <f>IF($C732="$/pa",D732*100,D732)</f>
        <v>0</v>
      </c>
      <c r="E97" s="89">
        <f t="shared" ref="E97:H97" si="17">IF($C732="$/pa",E732*100,E732)</f>
        <v>0</v>
      </c>
      <c r="F97" s="89">
        <f t="shared" si="17"/>
        <v>0</v>
      </c>
      <c r="G97" s="89">
        <f t="shared" si="17"/>
        <v>0</v>
      </c>
      <c r="H97" s="89">
        <f t="shared" si="17"/>
        <v>0</v>
      </c>
    </row>
    <row r="98" spans="1:8" s="21" customFormat="1" hidden="1" x14ac:dyDescent="0.3">
      <c r="A98" s="26" t="str">
        <f>A92</f>
        <v>Block 1</v>
      </c>
      <c r="B98" s="21" t="s">
        <v>25</v>
      </c>
      <c r="C98" s="21" t="s">
        <v>11</v>
      </c>
      <c r="D98" s="64">
        <f t="shared" ref="D98:H98" si="18">IF($C733="$/mwh",D733*100/1000,IF($C733="$/kwh",D733*100,D733))</f>
        <v>0</v>
      </c>
      <c r="E98" s="64">
        <f t="shared" si="18"/>
        <v>0</v>
      </c>
      <c r="F98" s="64">
        <f t="shared" si="18"/>
        <v>0</v>
      </c>
      <c r="G98" s="64">
        <f t="shared" si="18"/>
        <v>0</v>
      </c>
      <c r="H98" s="64">
        <f t="shared" si="18"/>
        <v>0</v>
      </c>
    </row>
    <row r="99" spans="1:8" s="21" customFormat="1" hidden="1" x14ac:dyDescent="0.3">
      <c r="A99" s="26" t="str">
        <f>A93</f>
        <v>Block 2</v>
      </c>
      <c r="B99" s="21" t="s">
        <v>25</v>
      </c>
      <c r="C99" s="21" t="s">
        <v>11</v>
      </c>
      <c r="D99" s="64">
        <f t="shared" ref="D99:H99" si="19">IF($C734="$/mwh",D734*100/1000,IF($C734="$/kwh",D734*100,D734))</f>
        <v>0</v>
      </c>
      <c r="E99" s="64">
        <f t="shared" si="19"/>
        <v>0</v>
      </c>
      <c r="F99" s="64">
        <f t="shared" si="19"/>
        <v>0</v>
      </c>
      <c r="G99" s="64">
        <f t="shared" si="19"/>
        <v>0</v>
      </c>
      <c r="H99" s="64">
        <f t="shared" si="19"/>
        <v>0</v>
      </c>
    </row>
    <row r="100" spans="1:8" s="21" customFormat="1" hidden="1" x14ac:dyDescent="0.3">
      <c r="A100" s="26" t="str">
        <f>A94</f>
        <v>Block 3</v>
      </c>
      <c r="B100" s="21" t="s">
        <v>25</v>
      </c>
      <c r="C100" s="21" t="s">
        <v>11</v>
      </c>
      <c r="D100" s="64">
        <f t="shared" ref="D100:H101" si="20">IF($C735="$/mwh",D735*100/1000,IF($C735="$/kwh",D735*100,D735))</f>
        <v>0</v>
      </c>
      <c r="E100" s="64">
        <f t="shared" si="20"/>
        <v>0</v>
      </c>
      <c r="F100" s="64">
        <f t="shared" si="20"/>
        <v>0</v>
      </c>
      <c r="G100" s="64">
        <f t="shared" si="20"/>
        <v>0</v>
      </c>
      <c r="H100" s="64">
        <f t="shared" si="20"/>
        <v>0</v>
      </c>
    </row>
    <row r="101" spans="1:8" s="21" customFormat="1" hidden="1" x14ac:dyDescent="0.3">
      <c r="A101" s="26" t="str">
        <f>A95</f>
        <v>Block 4</v>
      </c>
      <c r="B101" s="21" t="s">
        <v>25</v>
      </c>
      <c r="C101" s="21" t="s">
        <v>11</v>
      </c>
      <c r="D101" s="64">
        <f t="shared" si="20"/>
        <v>0</v>
      </c>
      <c r="E101" s="64">
        <f t="shared" si="20"/>
        <v>0</v>
      </c>
      <c r="F101" s="64">
        <f t="shared" si="20"/>
        <v>0</v>
      </c>
      <c r="G101" s="64">
        <f t="shared" si="20"/>
        <v>0</v>
      </c>
      <c r="H101" s="64">
        <f t="shared" si="20"/>
        <v>0</v>
      </c>
    </row>
    <row r="102" spans="1:8" s="21" customFormat="1" hidden="1" x14ac:dyDescent="0.3">
      <c r="A102" s="24" t="str">
        <f>Dist5</f>
        <v>blank</v>
      </c>
      <c r="D102" s="25"/>
      <c r="E102" s="25"/>
      <c r="F102" s="25"/>
      <c r="G102" s="25"/>
      <c r="H102" s="25"/>
    </row>
    <row r="103" spans="1:8" s="21" customFormat="1" hidden="1" x14ac:dyDescent="0.3">
      <c r="A103" s="26" t="str">
        <f>A97</f>
        <v>Standing</v>
      </c>
      <c r="B103" s="21" t="s">
        <v>25</v>
      </c>
      <c r="C103" s="21" t="s">
        <v>29</v>
      </c>
      <c r="D103" s="64">
        <f>IF($C738="$/pa",D738*100,D738)</f>
        <v>0</v>
      </c>
      <c r="E103" s="89">
        <f t="shared" ref="E103:H103" si="21">IF($C738="$/pa",E738*100,E738)</f>
        <v>0</v>
      </c>
      <c r="F103" s="89">
        <f t="shared" si="21"/>
        <v>0</v>
      </c>
      <c r="G103" s="89">
        <f t="shared" si="21"/>
        <v>0</v>
      </c>
      <c r="H103" s="89">
        <f t="shared" si="21"/>
        <v>0</v>
      </c>
    </row>
    <row r="104" spans="1:8" s="21" customFormat="1" hidden="1" x14ac:dyDescent="0.3">
      <c r="A104" s="26" t="str">
        <f>A98</f>
        <v>Block 1</v>
      </c>
      <c r="B104" s="21" t="s">
        <v>25</v>
      </c>
      <c r="C104" s="21" t="s">
        <v>11</v>
      </c>
      <c r="D104" s="64">
        <f>IF($C739="$/mwh",D739*100/1000,IF($C739="$/kwh",D739*100,D739))</f>
        <v>0</v>
      </c>
      <c r="E104" s="64">
        <f t="shared" ref="E104:H104" si="22">IF($C739="$/mwh",E739*100/1000,IF($C739="$/kwh",E739*100,E739))</f>
        <v>0</v>
      </c>
      <c r="F104" s="64">
        <f t="shared" si="22"/>
        <v>0</v>
      </c>
      <c r="G104" s="64">
        <f t="shared" si="22"/>
        <v>0</v>
      </c>
      <c r="H104" s="64">
        <f t="shared" si="22"/>
        <v>0</v>
      </c>
    </row>
    <row r="105" spans="1:8" s="21" customFormat="1" hidden="1" x14ac:dyDescent="0.3">
      <c r="A105" s="26" t="str">
        <f>A99</f>
        <v>Block 2</v>
      </c>
      <c r="B105" s="21" t="s">
        <v>25</v>
      </c>
      <c r="C105" s="21" t="s">
        <v>11</v>
      </c>
      <c r="D105" s="64">
        <f t="shared" ref="D105:H105" si="23">IF($C740="$/mwh",D740*100/1000,IF($C740="$/kwh",D740*100,D740))</f>
        <v>0</v>
      </c>
      <c r="E105" s="64">
        <f t="shared" si="23"/>
        <v>0</v>
      </c>
      <c r="F105" s="64">
        <f t="shared" si="23"/>
        <v>0</v>
      </c>
      <c r="G105" s="64">
        <f t="shared" si="23"/>
        <v>0</v>
      </c>
      <c r="H105" s="64">
        <f t="shared" si="23"/>
        <v>0</v>
      </c>
    </row>
    <row r="106" spans="1:8" s="21" customFormat="1" hidden="1" x14ac:dyDescent="0.3">
      <c r="A106" s="26" t="str">
        <f>A100</f>
        <v>Block 3</v>
      </c>
      <c r="B106" s="21" t="s">
        <v>25</v>
      </c>
      <c r="C106" s="21" t="s">
        <v>11</v>
      </c>
      <c r="D106" s="64">
        <f t="shared" ref="D106:H107" si="24">IF($C741="$/mwh",D741*100/1000,IF($C741="$/kwh",D741*100,D741))</f>
        <v>0</v>
      </c>
      <c r="E106" s="64">
        <f t="shared" si="24"/>
        <v>0</v>
      </c>
      <c r="F106" s="64">
        <f t="shared" si="24"/>
        <v>0</v>
      </c>
      <c r="G106" s="64">
        <f t="shared" si="24"/>
        <v>0</v>
      </c>
      <c r="H106" s="64">
        <f t="shared" si="24"/>
        <v>0</v>
      </c>
    </row>
    <row r="107" spans="1:8" s="21" customFormat="1" hidden="1" x14ac:dyDescent="0.3">
      <c r="A107" s="26" t="str">
        <f>A101</f>
        <v>Block 4</v>
      </c>
      <c r="B107" s="21" t="s">
        <v>25</v>
      </c>
      <c r="C107" s="21" t="s">
        <v>11</v>
      </c>
      <c r="D107" s="64">
        <f t="shared" si="24"/>
        <v>0</v>
      </c>
      <c r="E107" s="64">
        <f t="shared" si="24"/>
        <v>0</v>
      </c>
      <c r="F107" s="64">
        <f t="shared" si="24"/>
        <v>0</v>
      </c>
      <c r="G107" s="64">
        <f t="shared" si="24"/>
        <v>0</v>
      </c>
      <c r="H107" s="64">
        <f t="shared" si="24"/>
        <v>0</v>
      </c>
    </row>
    <row r="108" spans="1:8" s="21" customFormat="1" x14ac:dyDescent="0.3">
      <c r="A108" s="26"/>
      <c r="D108" s="25"/>
      <c r="E108" s="25"/>
      <c r="F108" s="25"/>
      <c r="G108" s="25"/>
      <c r="H108" s="25"/>
    </row>
    <row r="109" spans="1:8" s="21" customFormat="1" x14ac:dyDescent="0.3">
      <c r="A109" s="8" t="s">
        <v>22</v>
      </c>
      <c r="D109" s="25"/>
      <c r="E109" s="25"/>
      <c r="F109" s="25"/>
      <c r="G109" s="25"/>
      <c r="H109" s="25"/>
    </row>
    <row r="110" spans="1:8" s="21" customFormat="1" x14ac:dyDescent="0.3">
      <c r="A110" s="24" t="str">
        <f>Dist1&amp;" region"</f>
        <v>Northern Territory region</v>
      </c>
      <c r="D110" s="25"/>
      <c r="E110" s="25"/>
      <c r="F110" s="25"/>
      <c r="G110" s="25"/>
      <c r="H110" s="25"/>
    </row>
    <row r="111" spans="1:8" s="21" customFormat="1" x14ac:dyDescent="0.3">
      <c r="A111" s="21" t="s">
        <v>19</v>
      </c>
      <c r="B111" s="21" t="s">
        <v>25</v>
      </c>
      <c r="C111" s="21" t="s">
        <v>23</v>
      </c>
      <c r="D111" s="67">
        <f t="shared" ref="D111:H114" si="25">IF(D$750=0,0,D746/D$750)</f>
        <v>1</v>
      </c>
      <c r="E111" s="67">
        <f t="shared" si="25"/>
        <v>1</v>
      </c>
      <c r="F111" s="67">
        <f t="shared" si="25"/>
        <v>1</v>
      </c>
      <c r="G111" s="67">
        <f t="shared" si="25"/>
        <v>1</v>
      </c>
      <c r="H111" s="67">
        <f t="shared" si="25"/>
        <v>1</v>
      </c>
    </row>
    <row r="112" spans="1:8" s="21" customFormat="1" x14ac:dyDescent="0.3">
      <c r="A112" s="21" t="s">
        <v>20</v>
      </c>
      <c r="B112" s="21" t="s">
        <v>25</v>
      </c>
      <c r="C112" s="21" t="s">
        <v>23</v>
      </c>
      <c r="D112" s="67">
        <f t="shared" si="25"/>
        <v>0</v>
      </c>
      <c r="E112" s="67">
        <f t="shared" si="25"/>
        <v>0</v>
      </c>
      <c r="F112" s="67">
        <f t="shared" si="25"/>
        <v>0</v>
      </c>
      <c r="G112" s="67">
        <f t="shared" si="25"/>
        <v>0</v>
      </c>
      <c r="H112" s="67">
        <f t="shared" si="25"/>
        <v>0</v>
      </c>
    </row>
    <row r="113" spans="1:8" s="21" customFormat="1" x14ac:dyDescent="0.3">
      <c r="A113" s="21" t="s">
        <v>21</v>
      </c>
      <c r="B113" s="21" t="s">
        <v>25</v>
      </c>
      <c r="C113" s="21" t="s">
        <v>23</v>
      </c>
      <c r="D113" s="67">
        <f t="shared" si="25"/>
        <v>0</v>
      </c>
      <c r="E113" s="67">
        <f t="shared" si="25"/>
        <v>0</v>
      </c>
      <c r="F113" s="67">
        <f t="shared" si="25"/>
        <v>0</v>
      </c>
      <c r="G113" s="67">
        <f t="shared" si="25"/>
        <v>0</v>
      </c>
      <c r="H113" s="67">
        <f t="shared" si="25"/>
        <v>0</v>
      </c>
    </row>
    <row r="114" spans="1:8" s="21" customFormat="1" x14ac:dyDescent="0.3">
      <c r="A114" s="21" t="s">
        <v>83</v>
      </c>
      <c r="B114" s="21" t="s">
        <v>25</v>
      </c>
      <c r="C114" s="21" t="s">
        <v>23</v>
      </c>
      <c r="D114" s="67">
        <f t="shared" si="25"/>
        <v>0</v>
      </c>
      <c r="E114" s="67">
        <f t="shared" si="25"/>
        <v>0</v>
      </c>
      <c r="F114" s="67">
        <f t="shared" si="25"/>
        <v>0</v>
      </c>
      <c r="G114" s="67">
        <f t="shared" si="25"/>
        <v>0</v>
      </c>
      <c r="H114" s="67">
        <f t="shared" si="25"/>
        <v>0</v>
      </c>
    </row>
    <row r="115" spans="1:8" s="21" customFormat="1" hidden="1" x14ac:dyDescent="0.3">
      <c r="A115" s="24" t="str">
        <f>Dist2&amp;" region"</f>
        <v>blank region</v>
      </c>
      <c r="D115" s="25"/>
      <c r="E115" s="25"/>
      <c r="F115" s="25"/>
      <c r="G115" s="25"/>
      <c r="H115" s="25"/>
    </row>
    <row r="116" spans="1:8" s="21" customFormat="1" hidden="1" x14ac:dyDescent="0.3">
      <c r="A116" s="21" t="str">
        <f>A111</f>
        <v>Block 1</v>
      </c>
      <c r="B116" s="21" t="s">
        <v>25</v>
      </c>
      <c r="C116" s="21" t="s">
        <v>23</v>
      </c>
      <c r="D116" s="67">
        <f t="shared" ref="D116:H119" si="26">IF(D$757=0,0,D753/D$757)</f>
        <v>0</v>
      </c>
      <c r="E116" s="67">
        <f t="shared" si="26"/>
        <v>0</v>
      </c>
      <c r="F116" s="67">
        <f t="shared" si="26"/>
        <v>0</v>
      </c>
      <c r="G116" s="67">
        <f t="shared" si="26"/>
        <v>0</v>
      </c>
      <c r="H116" s="67">
        <f t="shared" si="26"/>
        <v>0</v>
      </c>
    </row>
    <row r="117" spans="1:8" s="21" customFormat="1" hidden="1" x14ac:dyDescent="0.3">
      <c r="A117" s="21" t="str">
        <f>A112</f>
        <v>Block 2</v>
      </c>
      <c r="B117" s="21" t="s">
        <v>25</v>
      </c>
      <c r="C117" s="21" t="s">
        <v>23</v>
      </c>
      <c r="D117" s="67">
        <f t="shared" si="26"/>
        <v>0</v>
      </c>
      <c r="E117" s="67">
        <f t="shared" si="26"/>
        <v>0</v>
      </c>
      <c r="F117" s="67">
        <f t="shared" si="26"/>
        <v>0</v>
      </c>
      <c r="G117" s="67">
        <f t="shared" si="26"/>
        <v>0</v>
      </c>
      <c r="H117" s="67">
        <f t="shared" si="26"/>
        <v>0</v>
      </c>
    </row>
    <row r="118" spans="1:8" s="21" customFormat="1" hidden="1" x14ac:dyDescent="0.3">
      <c r="A118" s="21" t="str">
        <f>A113</f>
        <v>Block 3</v>
      </c>
      <c r="B118" s="21" t="s">
        <v>25</v>
      </c>
      <c r="C118" s="21" t="s">
        <v>23</v>
      </c>
      <c r="D118" s="67">
        <f t="shared" si="26"/>
        <v>0</v>
      </c>
      <c r="E118" s="67">
        <f t="shared" si="26"/>
        <v>0</v>
      </c>
      <c r="F118" s="67">
        <f t="shared" si="26"/>
        <v>0</v>
      </c>
      <c r="G118" s="67">
        <f t="shared" si="26"/>
        <v>0</v>
      </c>
      <c r="H118" s="67">
        <f t="shared" si="26"/>
        <v>0</v>
      </c>
    </row>
    <row r="119" spans="1:8" s="21" customFormat="1" hidden="1" x14ac:dyDescent="0.3">
      <c r="A119" s="21" t="str">
        <f>A114</f>
        <v>Block 4</v>
      </c>
      <c r="B119" s="21" t="s">
        <v>25</v>
      </c>
      <c r="C119" s="21" t="s">
        <v>23</v>
      </c>
      <c r="D119" s="67">
        <f t="shared" si="26"/>
        <v>0</v>
      </c>
      <c r="E119" s="67">
        <f t="shared" si="26"/>
        <v>0</v>
      </c>
      <c r="F119" s="67">
        <f t="shared" si="26"/>
        <v>0</v>
      </c>
      <c r="G119" s="67">
        <f t="shared" si="26"/>
        <v>0</v>
      </c>
      <c r="H119" s="67">
        <f t="shared" si="26"/>
        <v>0</v>
      </c>
    </row>
    <row r="120" spans="1:8" s="21" customFormat="1" hidden="1" x14ac:dyDescent="0.3">
      <c r="A120" s="24" t="str">
        <f>Dist3&amp;" region"</f>
        <v>blank region</v>
      </c>
      <c r="D120" s="25"/>
      <c r="E120" s="25"/>
      <c r="F120" s="25"/>
      <c r="G120" s="25"/>
      <c r="H120" s="25"/>
    </row>
    <row r="121" spans="1:8" s="21" customFormat="1" hidden="1" x14ac:dyDescent="0.3">
      <c r="A121" s="21" t="str">
        <f>A116</f>
        <v>Block 1</v>
      </c>
      <c r="B121" s="21" t="s">
        <v>25</v>
      </c>
      <c r="C121" s="21" t="s">
        <v>23</v>
      </c>
      <c r="D121" s="67">
        <f t="shared" ref="D121:H124" si="27">IF(D$764=0,0,D760/D$764)</f>
        <v>0</v>
      </c>
      <c r="E121" s="67">
        <f t="shared" si="27"/>
        <v>0</v>
      </c>
      <c r="F121" s="67">
        <f t="shared" si="27"/>
        <v>0</v>
      </c>
      <c r="G121" s="67">
        <f t="shared" si="27"/>
        <v>0</v>
      </c>
      <c r="H121" s="67">
        <f t="shared" si="27"/>
        <v>0</v>
      </c>
    </row>
    <row r="122" spans="1:8" s="21" customFormat="1" hidden="1" x14ac:dyDescent="0.3">
      <c r="A122" s="21" t="str">
        <f>A117</f>
        <v>Block 2</v>
      </c>
      <c r="B122" s="21" t="s">
        <v>25</v>
      </c>
      <c r="C122" s="21" t="s">
        <v>23</v>
      </c>
      <c r="D122" s="67">
        <f t="shared" si="27"/>
        <v>0</v>
      </c>
      <c r="E122" s="67">
        <f t="shared" si="27"/>
        <v>0</v>
      </c>
      <c r="F122" s="67">
        <f t="shared" si="27"/>
        <v>0</v>
      </c>
      <c r="G122" s="67">
        <f t="shared" si="27"/>
        <v>0</v>
      </c>
      <c r="H122" s="67">
        <f t="shared" si="27"/>
        <v>0</v>
      </c>
    </row>
    <row r="123" spans="1:8" s="21" customFormat="1" hidden="1" x14ac:dyDescent="0.3">
      <c r="A123" s="21" t="str">
        <f>A118</f>
        <v>Block 3</v>
      </c>
      <c r="B123" s="21" t="s">
        <v>25</v>
      </c>
      <c r="C123" s="21" t="s">
        <v>23</v>
      </c>
      <c r="D123" s="67">
        <f t="shared" si="27"/>
        <v>0</v>
      </c>
      <c r="E123" s="67">
        <f t="shared" si="27"/>
        <v>0</v>
      </c>
      <c r="F123" s="67">
        <f t="shared" si="27"/>
        <v>0</v>
      </c>
      <c r="G123" s="67">
        <f t="shared" si="27"/>
        <v>0</v>
      </c>
      <c r="H123" s="67">
        <f t="shared" si="27"/>
        <v>0</v>
      </c>
    </row>
    <row r="124" spans="1:8" s="21" customFormat="1" hidden="1" x14ac:dyDescent="0.3">
      <c r="A124" s="21" t="str">
        <f>A119</f>
        <v>Block 4</v>
      </c>
      <c r="B124" s="21" t="s">
        <v>25</v>
      </c>
      <c r="C124" s="21" t="s">
        <v>23</v>
      </c>
      <c r="D124" s="67">
        <f t="shared" si="27"/>
        <v>0</v>
      </c>
      <c r="E124" s="67">
        <f t="shared" si="27"/>
        <v>0</v>
      </c>
      <c r="F124" s="67">
        <f t="shared" si="27"/>
        <v>0</v>
      </c>
      <c r="G124" s="67">
        <f t="shared" si="27"/>
        <v>0</v>
      </c>
      <c r="H124" s="67">
        <f t="shared" si="27"/>
        <v>0</v>
      </c>
    </row>
    <row r="125" spans="1:8" s="21" customFormat="1" hidden="1" x14ac:dyDescent="0.3">
      <c r="A125" s="24" t="str">
        <f>Dist4&amp;" region"</f>
        <v>blank region</v>
      </c>
      <c r="D125" s="25"/>
      <c r="E125" s="25"/>
      <c r="F125" s="25"/>
      <c r="G125" s="25"/>
      <c r="H125" s="25"/>
    </row>
    <row r="126" spans="1:8" s="21" customFormat="1" hidden="1" x14ac:dyDescent="0.3">
      <c r="A126" s="21" t="str">
        <f>A121</f>
        <v>Block 1</v>
      </c>
      <c r="B126" s="21" t="s">
        <v>25</v>
      </c>
      <c r="C126" s="21" t="s">
        <v>23</v>
      </c>
      <c r="D126" s="67">
        <f>IF(D$771=0,0,D767/D$771)</f>
        <v>0</v>
      </c>
      <c r="E126" s="67">
        <f t="shared" ref="E126:H126" si="28">IF(E$771=0,0,E767/E$771)</f>
        <v>0</v>
      </c>
      <c r="F126" s="67">
        <f t="shared" si="28"/>
        <v>0</v>
      </c>
      <c r="G126" s="67">
        <f t="shared" si="28"/>
        <v>0</v>
      </c>
      <c r="H126" s="67">
        <f t="shared" si="28"/>
        <v>0</v>
      </c>
    </row>
    <row r="127" spans="1:8" s="21" customFormat="1" hidden="1" x14ac:dyDescent="0.3">
      <c r="A127" s="21" t="str">
        <f>A122</f>
        <v>Block 2</v>
      </c>
      <c r="B127" s="21" t="s">
        <v>25</v>
      </c>
      <c r="C127" s="21" t="s">
        <v>23</v>
      </c>
      <c r="D127" s="67">
        <f t="shared" ref="D127:H129" si="29">IF(D$771=0,0,D768/D$771)</f>
        <v>0</v>
      </c>
      <c r="E127" s="67">
        <f t="shared" si="29"/>
        <v>0</v>
      </c>
      <c r="F127" s="67">
        <f t="shared" si="29"/>
        <v>0</v>
      </c>
      <c r="G127" s="67">
        <f t="shared" si="29"/>
        <v>0</v>
      </c>
      <c r="H127" s="67">
        <f t="shared" si="29"/>
        <v>0</v>
      </c>
    </row>
    <row r="128" spans="1:8" s="21" customFormat="1" hidden="1" x14ac:dyDescent="0.3">
      <c r="A128" s="21" t="str">
        <f>A123</f>
        <v>Block 3</v>
      </c>
      <c r="B128" s="21" t="s">
        <v>25</v>
      </c>
      <c r="C128" s="21" t="s">
        <v>23</v>
      </c>
      <c r="D128" s="67">
        <f t="shared" si="29"/>
        <v>0</v>
      </c>
      <c r="E128" s="67">
        <f t="shared" si="29"/>
        <v>0</v>
      </c>
      <c r="F128" s="67">
        <f t="shared" si="29"/>
        <v>0</v>
      </c>
      <c r="G128" s="67">
        <f t="shared" si="29"/>
        <v>0</v>
      </c>
      <c r="H128" s="67">
        <f t="shared" si="29"/>
        <v>0</v>
      </c>
    </row>
    <row r="129" spans="1:8" s="21" customFormat="1" hidden="1" x14ac:dyDescent="0.3">
      <c r="A129" s="21" t="str">
        <f>A124</f>
        <v>Block 4</v>
      </c>
      <c r="B129" s="21" t="s">
        <v>25</v>
      </c>
      <c r="C129" s="21" t="s">
        <v>23</v>
      </c>
      <c r="D129" s="67">
        <f t="shared" si="29"/>
        <v>0</v>
      </c>
      <c r="E129" s="67">
        <f t="shared" si="29"/>
        <v>0</v>
      </c>
      <c r="F129" s="67">
        <f t="shared" si="29"/>
        <v>0</v>
      </c>
      <c r="G129" s="67">
        <f t="shared" si="29"/>
        <v>0</v>
      </c>
      <c r="H129" s="67">
        <f t="shared" si="29"/>
        <v>0</v>
      </c>
    </row>
    <row r="130" spans="1:8" s="21" customFormat="1" hidden="1" x14ac:dyDescent="0.3">
      <c r="A130" s="24" t="str">
        <f>Dist5&amp;" region"</f>
        <v>blank region</v>
      </c>
      <c r="D130" s="25"/>
      <c r="E130" s="25"/>
      <c r="F130" s="25"/>
      <c r="G130" s="25"/>
      <c r="H130" s="25"/>
    </row>
    <row r="131" spans="1:8" s="21" customFormat="1" hidden="1" x14ac:dyDescent="0.3">
      <c r="A131" s="21" t="str">
        <f>A126</f>
        <v>Block 1</v>
      </c>
      <c r="B131" s="21" t="s">
        <v>25</v>
      </c>
      <c r="C131" s="21" t="s">
        <v>23</v>
      </c>
      <c r="D131" s="67">
        <f t="shared" ref="D131:H134" si="30">IF(D$778=0,0,D774/D$778)</f>
        <v>0</v>
      </c>
      <c r="E131" s="67">
        <f t="shared" si="30"/>
        <v>0</v>
      </c>
      <c r="F131" s="67">
        <f t="shared" si="30"/>
        <v>0</v>
      </c>
      <c r="G131" s="67">
        <f t="shared" si="30"/>
        <v>0</v>
      </c>
      <c r="H131" s="67">
        <f t="shared" si="30"/>
        <v>0</v>
      </c>
    </row>
    <row r="132" spans="1:8" s="21" customFormat="1" hidden="1" x14ac:dyDescent="0.3">
      <c r="A132" s="21" t="str">
        <f>A127</f>
        <v>Block 2</v>
      </c>
      <c r="B132" s="21" t="s">
        <v>25</v>
      </c>
      <c r="C132" s="21" t="s">
        <v>23</v>
      </c>
      <c r="D132" s="67">
        <f t="shared" si="30"/>
        <v>0</v>
      </c>
      <c r="E132" s="67">
        <f t="shared" si="30"/>
        <v>0</v>
      </c>
      <c r="F132" s="67">
        <f t="shared" si="30"/>
        <v>0</v>
      </c>
      <c r="G132" s="67">
        <f t="shared" si="30"/>
        <v>0</v>
      </c>
      <c r="H132" s="67">
        <f t="shared" si="30"/>
        <v>0</v>
      </c>
    </row>
    <row r="133" spans="1:8" s="21" customFormat="1" hidden="1" x14ac:dyDescent="0.3">
      <c r="A133" s="21" t="str">
        <f>A128</f>
        <v>Block 3</v>
      </c>
      <c r="B133" s="21" t="s">
        <v>25</v>
      </c>
      <c r="C133" s="21" t="s">
        <v>23</v>
      </c>
      <c r="D133" s="67">
        <f t="shared" si="30"/>
        <v>0</v>
      </c>
      <c r="E133" s="67">
        <f t="shared" si="30"/>
        <v>0</v>
      </c>
      <c r="F133" s="67">
        <f t="shared" si="30"/>
        <v>0</v>
      </c>
      <c r="G133" s="67">
        <f t="shared" si="30"/>
        <v>0</v>
      </c>
      <c r="H133" s="67">
        <f t="shared" si="30"/>
        <v>0</v>
      </c>
    </row>
    <row r="134" spans="1:8" s="21" customFormat="1" hidden="1" x14ac:dyDescent="0.3">
      <c r="A134" s="21" t="str">
        <f>A129</f>
        <v>Block 4</v>
      </c>
      <c r="B134" s="21" t="s">
        <v>25</v>
      </c>
      <c r="C134" s="21" t="s">
        <v>23</v>
      </c>
      <c r="D134" s="67">
        <f t="shared" si="30"/>
        <v>0</v>
      </c>
      <c r="E134" s="67">
        <f t="shared" si="30"/>
        <v>0</v>
      </c>
      <c r="F134" s="67">
        <f t="shared" si="30"/>
        <v>0</v>
      </c>
      <c r="G134" s="67">
        <f t="shared" si="30"/>
        <v>0</v>
      </c>
      <c r="H134" s="67">
        <f t="shared" si="30"/>
        <v>0</v>
      </c>
    </row>
    <row r="135" spans="1:8" s="21" customFormat="1" x14ac:dyDescent="0.3"/>
    <row r="136" spans="1:8" s="23" customFormat="1" ht="18.75" x14ac:dyDescent="0.3">
      <c r="A136" s="22" t="s">
        <v>122</v>
      </c>
    </row>
    <row r="137" spans="1:8" s="21" customFormat="1" x14ac:dyDescent="0.3">
      <c r="A137" s="24" t="str">
        <f>Dist1</f>
        <v>Northern Territory</v>
      </c>
    </row>
    <row r="138" spans="1:8" s="21" customFormat="1" x14ac:dyDescent="0.3">
      <c r="A138" s="26" t="s">
        <v>64</v>
      </c>
      <c r="B138" s="87" t="s">
        <v>25</v>
      </c>
      <c r="C138" s="21" t="s">
        <v>11</v>
      </c>
      <c r="D138" s="64">
        <f>IF(VLOOKUP($A138,$A$352:$H$360,3,FALSE)="$/kWh",VLOOKUP($A138,$A$352:$H$360,COLUMN(D138),FALSE)*100,IF(VLOOKUP($A138,$A$352:$H$360,3,FALSE)="$/mWh",VLOOKUP($A138,$A$352:$H$360,COLUMN(D138),FALSE)*100/1000,VLOOKUP($A138,$A$352:$H$360,COLUMN(D138),FALSE)))</f>
        <v>0</v>
      </c>
      <c r="E138" s="64">
        <f>IF(VLOOKUP($A138,$A$352:$H$360,3,FALSE)="$/kWh",VLOOKUP($A138,$A$352:$H$360,COLUMN(E138),FALSE)*100,IF(VLOOKUP($A138,$A$352:$H$360,3,FALSE)="$/mWh",VLOOKUP($A138,$A$352:$H$360,COLUMN(E138),FALSE)*100/1000,VLOOKUP($A138,$A$352:$H$360,COLUMN(E138),FALSE)))</f>
        <v>0.28756363636363635</v>
      </c>
      <c r="F138" s="64">
        <f>IF(VLOOKUP($A138,$A$352:$H$360,3,FALSE)="$/kWh",VLOOKUP($A138,$A$352:$H$360,COLUMN(F138),FALSE)*100,IF(VLOOKUP($A138,$A$352:$H$360,3,FALSE)="$/mWh",VLOOKUP($A138,$A$352:$H$360,COLUMN(F138),FALSE)*100/1000,VLOOKUP($A138,$A$352:$H$360,COLUMN(F138),FALSE)))</f>
        <v>0.31665454545454547</v>
      </c>
      <c r="G138" s="64">
        <f>IF(VLOOKUP($A138,$A$352:$H$360,3,FALSE)="$/kWh",VLOOKUP($A138,$A$352:$H$360,COLUMN(G138),FALSE)*100,IF(VLOOKUP($A138,$A$352:$H$360,3,FALSE)="$/mWh",VLOOKUP($A138,$A$352:$H$360,COLUMN(G138),FALSE)*100/1000,VLOOKUP($A138,$A$352:$H$360,COLUMN(G138),FALSE)))</f>
        <v>0.45094356164383564</v>
      </c>
      <c r="H138" s="64">
        <f>IF(VLOOKUP($A138,$A$352:$H$360,3,FALSE)="$/kWh",VLOOKUP($A138,$A$352:$H$360,COLUMN(H138),FALSE)*100,IF(VLOOKUP($A138,$A$352:$H$360,3,FALSE)="$/mWh",VLOOKUP($A138,$A$352:$H$360,COLUMN(H138),FALSE)*100/1000,VLOOKUP($A138,$A$352:$H$360,COLUMN(H138),FALSE)))</f>
        <v>0.46221715068493152</v>
      </c>
    </row>
    <row r="139" spans="1:8" s="21" customFormat="1" x14ac:dyDescent="0.3">
      <c r="A139" s="26" t="s">
        <v>69</v>
      </c>
      <c r="B139" s="87" t="s">
        <v>25</v>
      </c>
      <c r="C139" s="21" t="s">
        <v>11</v>
      </c>
      <c r="D139" s="64">
        <f ca="1">IF(VLOOKUP($A139,dist1Retail,3,FALSE)="$/kWh",VLOOKUP($A139,dist1Retail,COLUMN(D139),FALSE)*100,IF(VLOOKUP($A139,dist1Retail,3,FALSE)="$/mWh",VLOOKUP($A139,dist1Retail,COLUMN(D139),FALSE)*100/1000,VLOOKUP($A139,dist1Retail,COLUMN(D139),FALSE)))+(VLOOKUP(OFFSET(D139,-2,-1*(COLUMN(D139)-1)),$A$519:$H$523,COLUMN(D139),FALSE))</f>
        <v>0</v>
      </c>
      <c r="E139" s="64">
        <f ca="1">IF(VLOOKUP($A139,dist1Retail,3,FALSE)="$/kWh",VLOOKUP($A139,dist1Retail,COLUMN(E139),FALSE)*100,IF(VLOOKUP($A139,dist1Retail,3,FALSE)="$/mWh",VLOOKUP($A139,dist1Retail,COLUMN(E139),FALSE)*100/1000,VLOOKUP($A139,dist1Retail,COLUMN(E139),FALSE)))+(VLOOKUP(OFFSET(E139,-2,-1*(COLUMN(E139)-1)),$A$519:$H$523,COLUMN(E139),FALSE))</f>
        <v>0</v>
      </c>
      <c r="F139" s="64">
        <f ca="1">IF(VLOOKUP($A139,dist1Retail,3,FALSE)="$/kWh",VLOOKUP($A139,dist1Retail,COLUMN(F139),FALSE)*100,IF(VLOOKUP($A139,dist1Retail,3,FALSE)="$/mWh",VLOOKUP($A139,dist1Retail,COLUMN(F139),FALSE)*100/1000,VLOOKUP($A139,dist1Retail,COLUMN(F139),FALSE)))+(VLOOKUP(OFFSET(F139,-2,-1*(COLUMN(F139)-1)),$A$519:$H$523,COLUMN(F139),FALSE))</f>
        <v>0</v>
      </c>
      <c r="G139" s="64">
        <f ca="1">IF(VLOOKUP($A139,dist1Retail,3,FALSE)="$/kWh",VLOOKUP($A139,dist1Retail,COLUMN(G139),FALSE)*100,IF(VLOOKUP($A139,dist1Retail,3,FALSE)="$/mWh",VLOOKUP($A139,dist1Retail,COLUMN(G139),FALSE)*100/1000,VLOOKUP($A139,dist1Retail,COLUMN(G139),FALSE)))+(VLOOKUP(OFFSET(G139,-2,-1*(COLUMN(G139)-1)),$A$519:$H$523,COLUMN(G139),FALSE))</f>
        <v>0</v>
      </c>
      <c r="H139" s="64">
        <f ca="1">IF(VLOOKUP($A139,dist1Retail,3,FALSE)="$/kWh",VLOOKUP($A139,dist1Retail,COLUMN(H139),FALSE)*100,IF(VLOOKUP($A139,dist1Retail,3,FALSE)="$/mWh",VLOOKUP($A139,dist1Retail,COLUMN(H139),FALSE)*100/1000,VLOOKUP($A139,dist1Retail,COLUMN(H139),FALSE)))+(VLOOKUP(OFFSET(H139,-2,-1*(COLUMN(H139)-1)),$A$519:$H$523,COLUMN(H139),FALSE))</f>
        <v>0</v>
      </c>
    </row>
    <row r="140" spans="1:8" s="21" customFormat="1" hidden="1" x14ac:dyDescent="0.3">
      <c r="D140" s="25"/>
      <c r="E140" s="25"/>
      <c r="F140" s="25"/>
      <c r="G140" s="25"/>
      <c r="H140" s="25"/>
    </row>
    <row r="141" spans="1:8" s="21" customFormat="1" hidden="1" x14ac:dyDescent="0.3">
      <c r="A141" s="24" t="str">
        <f>Dist2</f>
        <v>blank</v>
      </c>
      <c r="D141" s="25"/>
      <c r="E141" s="25"/>
      <c r="F141" s="25"/>
      <c r="G141" s="25"/>
      <c r="H141" s="25"/>
    </row>
    <row r="142" spans="1:8" s="21" customFormat="1" hidden="1" x14ac:dyDescent="0.3">
      <c r="A142" s="26" t="str">
        <f>A138</f>
        <v>Retail operating Cost</v>
      </c>
      <c r="B142" s="87" t="s">
        <v>25</v>
      </c>
      <c r="C142" s="21" t="s">
        <v>11</v>
      </c>
      <c r="D142" s="64">
        <f>IF(LEFT($A141,5)="blank",0,IF(VLOOKUP($A138,$A$363:$H$371,3,FALSE)="$/kWh",VLOOKUP($A138,$A$363:$H$371,COLUMN(D138),FALSE)*100,IF(VLOOKUP($A138,$A$363:$H$371,3,FALSE)="$/mWh",VLOOKUP($A138,$A$363:$H$371,COLUMN(D138),FALSE)*100/1000,VLOOKUP($A138,$A$363:$H$371,COLUMN(D138),FALSE))))</f>
        <v>0</v>
      </c>
      <c r="E142" s="64">
        <f>IF(LEFT($A141,5)="blank",0,IF(VLOOKUP($A138,$A$363:$H$371,3,FALSE)="$/kWh",VLOOKUP($A138,$A$363:$H$371,COLUMN(E138),FALSE)*100,IF(VLOOKUP($A138,$A$363:$H$371,3,FALSE)="$/mWh",VLOOKUP($A138,$A$363:$H$371,COLUMN(E138),FALSE)*100/1000,VLOOKUP($A138,$A$363:$H$371,COLUMN(E138),FALSE))))</f>
        <v>0</v>
      </c>
      <c r="F142" s="64">
        <f>IF(LEFT($A141,5)="blank",0,IF(VLOOKUP($A138,$A$363:$H$371,3,FALSE)="$/kWh",VLOOKUP($A138,$A$363:$H$371,COLUMN(F138),FALSE)*100,IF(VLOOKUP($A138,$A$363:$H$371,3,FALSE)="$/mWh",VLOOKUP($A138,$A$363:$H$371,COLUMN(F138),FALSE)*100/1000,VLOOKUP($A138,$A$363:$H$371,COLUMN(F138),FALSE))))</f>
        <v>0</v>
      </c>
      <c r="G142" s="64">
        <f>IF(LEFT($A141,5)="blank",0,IF(VLOOKUP($A138,$A$363:$H$371,3,FALSE)="$/kWh",VLOOKUP($A138,$A$363:$H$371,COLUMN(G138),FALSE)*100,IF(VLOOKUP($A138,$A$363:$H$371,3,FALSE)="$/mWh",VLOOKUP($A138,$A$363:$H$371,COLUMN(G138),FALSE)*100/1000,VLOOKUP($A138,$A$363:$H$371,COLUMN(G138),FALSE))))</f>
        <v>0</v>
      </c>
      <c r="H142" s="64">
        <f>IF(LEFT($A141,5)="blank",0,IF(VLOOKUP($A138,$A$363:$H$371,3,FALSE)="$/kWh",VLOOKUP($A138,$A$363:$H$371,COLUMN(H138),FALSE)*100,IF(VLOOKUP($A138,$A$363:$H$371,3,FALSE)="$/mWh",VLOOKUP($A138,$A$363:$H$371,COLUMN(H138),FALSE)*100/1000,VLOOKUP($A138,$A$363:$H$371,COLUMN(H138),FALSE))))</f>
        <v>0</v>
      </c>
    </row>
    <row r="143" spans="1:8" s="21" customFormat="1" hidden="1" x14ac:dyDescent="0.3">
      <c r="A143" s="26" t="s">
        <v>69</v>
      </c>
      <c r="B143" s="87" t="s">
        <v>25</v>
      </c>
      <c r="C143" s="21" t="s">
        <v>11</v>
      </c>
      <c r="D143" s="64">
        <f ca="1">IF(LEFT($A141,5)="blank",0,IF(VLOOKUP($A143,dist2Retail,3,FALSE)="$/kWh",VLOOKUP($A143,dist2Retail,COLUMN(D143),FALSE)*100,IF(VLOOKUP($A143,dist2Retail,3,FALSE)="$/mWh",VLOOKUP($A143,dist2Retail,COLUMN(D143),FALSE)*100/1000,VLOOKUP($A143,dist2Retail,COLUMN(D143),FALSE)))+(VLOOKUP(OFFSET(D143,-2,-1*(COLUMN(D143)-1)),$A$519:$H$523,COLUMN(D143),FALSE)))</f>
        <v>0</v>
      </c>
      <c r="E143" s="64">
        <f ca="1">IF(LEFT($A141,5)="blank",0,IF(VLOOKUP($A143,dist2Retail,3,FALSE)="$/kWh",VLOOKUP($A143,dist2Retail,COLUMN(E143),FALSE)*100,IF(VLOOKUP($A143,dist2Retail,3,FALSE)="$/mWh",VLOOKUP($A143,dist2Retail,COLUMN(E143),FALSE)*100/1000,VLOOKUP($A143,dist2Retail,COLUMN(E143),FALSE)))+(VLOOKUP(OFFSET(E143,-2,-1*(COLUMN(E143)-1)),$A$519:$H$523,COLUMN(E143),FALSE)))</f>
        <v>0</v>
      </c>
      <c r="F143" s="64">
        <f ca="1">IF(LEFT($A141,5)="blank",0,IF(VLOOKUP($A143,dist2Retail,3,FALSE)="$/kWh",VLOOKUP($A143,dist2Retail,COLUMN(F143),FALSE)*100,IF(VLOOKUP($A143,dist2Retail,3,FALSE)="$/mWh",VLOOKUP($A143,dist2Retail,COLUMN(F143),FALSE)*100/1000,VLOOKUP($A143,dist2Retail,COLUMN(F143),FALSE)))+(VLOOKUP(OFFSET(F143,-2,-1*(COLUMN(F143)-1)),$A$519:$H$523,COLUMN(F143),FALSE)))</f>
        <v>0</v>
      </c>
      <c r="G143" s="64">
        <f ca="1">IF(LEFT($A141,5)="blank",0,IF(VLOOKUP($A143,dist2Retail,3,FALSE)="$/kWh",VLOOKUP($A143,dist2Retail,COLUMN(G143),FALSE)*100,IF(VLOOKUP($A143,dist2Retail,3,FALSE)="$/mWh",VLOOKUP($A143,dist2Retail,COLUMN(G143),FALSE)*100/1000,VLOOKUP($A143,dist2Retail,COLUMN(G143),FALSE)))+(VLOOKUP(OFFSET(G143,-2,-1*(COLUMN(G143)-1)),$A$519:$H$523,COLUMN(G143),FALSE)))</f>
        <v>0</v>
      </c>
      <c r="H143" s="64">
        <f ca="1">IF(LEFT($A141,5)="blank",0,IF(VLOOKUP($A143,dist2Retail,3,FALSE)="$/kWh",VLOOKUP($A143,dist2Retail,COLUMN(H143),FALSE)*100,IF(VLOOKUP($A143,dist2Retail,3,FALSE)="$/mWh",VLOOKUP($A143,dist2Retail,COLUMN(H143),FALSE)*100/1000,VLOOKUP($A143,dist2Retail,COLUMN(H143),FALSE)))+(VLOOKUP(OFFSET(H143,-2,-1*(COLUMN(H143)-1)),$A$519:$H$523,COLUMN(H143),FALSE)))</f>
        <v>0</v>
      </c>
    </row>
    <row r="144" spans="1:8" s="21" customFormat="1" hidden="1" x14ac:dyDescent="0.3">
      <c r="D144" s="25"/>
      <c r="E144" s="25"/>
      <c r="F144" s="25"/>
      <c r="G144" s="25"/>
      <c r="H144" s="25"/>
    </row>
    <row r="145" spans="1:9" s="21" customFormat="1" hidden="1" x14ac:dyDescent="0.3">
      <c r="A145" s="24" t="str">
        <f>Dist3</f>
        <v>blank</v>
      </c>
      <c r="D145" s="25"/>
      <c r="E145" s="25"/>
      <c r="F145" s="25"/>
      <c r="G145" s="25"/>
      <c r="H145" s="25"/>
    </row>
    <row r="146" spans="1:9" s="21" customFormat="1" hidden="1" x14ac:dyDescent="0.3">
      <c r="A146" s="26" t="str">
        <f>A142</f>
        <v>Retail operating Cost</v>
      </c>
      <c r="B146" s="87" t="s">
        <v>25</v>
      </c>
      <c r="C146" s="21" t="s">
        <v>11</v>
      </c>
      <c r="D146" s="64">
        <f>IF(LEFT($A145,5)="blank",0,IF(VLOOKUP($A138,$A$374:$H$382,3,FALSE)="$/kWh",VLOOKUP($A138,$A$374:$H$382,COLUMN(D138),FALSE)*100,IF(VLOOKUP($A138,$A$374:$H$382,3,FALSE)="$/mWh",VLOOKUP($A138,$A$374:$H$382,COLUMN(D138),FALSE)*100/1000,VLOOKUP($A138,$A$374:$H$382,COLUMN(D138),FALSE))))</f>
        <v>0</v>
      </c>
      <c r="E146" s="64">
        <f>IF(LEFT($A145,5)="blank",0,IF(VLOOKUP($A138,$A$374:$H$382,3,FALSE)="$/kWh",VLOOKUP($A138,$A$374:$H$382,COLUMN(E138),FALSE)*100,IF(VLOOKUP($A138,$A$374:$H$382,3,FALSE)="$/mWh",VLOOKUP($A138,$A$374:$H$382,COLUMN(E138),FALSE)*100/1000,VLOOKUP($A138,$A$374:$H$382,COLUMN(E138),FALSE))))</f>
        <v>0</v>
      </c>
      <c r="F146" s="64">
        <f>IF(LEFT($A145,5)="blank",0,IF(VLOOKUP($A138,$A$374:$H$382,3,FALSE)="$/kWh",VLOOKUP($A138,$A$374:$H$382,COLUMN(F138),FALSE)*100,IF(VLOOKUP($A138,$A$374:$H$382,3,FALSE)="$/mWh",VLOOKUP($A138,$A$374:$H$382,COLUMN(F138),FALSE)*100/1000,VLOOKUP($A138,$A$374:$H$382,COLUMN(F138),FALSE))))</f>
        <v>0</v>
      </c>
      <c r="G146" s="64">
        <f>IF(LEFT($A145,5)="blank",0,IF(VLOOKUP($A138,$A$374:$H$382,3,FALSE)="$/kWh",VLOOKUP($A138,$A$374:$H$382,COLUMN(G138),FALSE)*100,IF(VLOOKUP($A138,$A$374:$H$382,3,FALSE)="$/mWh",VLOOKUP($A138,$A$374:$H$382,COLUMN(G138),FALSE)*100/1000,VLOOKUP($A138,$A$374:$H$382,COLUMN(G138),FALSE))))</f>
        <v>0</v>
      </c>
      <c r="H146" s="64">
        <f>IF(LEFT($A145,5)="blank",0,IF(VLOOKUP($A138,$A$374:$H$382,3,FALSE)="$/kWh",VLOOKUP($A138,$A$374:$H$382,COLUMN(H138),FALSE)*100,IF(VLOOKUP($A138,$A$374:$H$382,3,FALSE)="$/mWh",VLOOKUP($A138,$A$374:$H$382,COLUMN(H138),FALSE)*100/1000,VLOOKUP($A138,$A$374:$H$382,COLUMN(H138),FALSE))))</f>
        <v>0</v>
      </c>
    </row>
    <row r="147" spans="1:9" s="21" customFormat="1" hidden="1" x14ac:dyDescent="0.3">
      <c r="A147" s="26" t="s">
        <v>69</v>
      </c>
      <c r="B147" s="87" t="s">
        <v>25</v>
      </c>
      <c r="C147" s="21" t="s">
        <v>11</v>
      </c>
      <c r="D147" s="64">
        <f ca="1">IF(LEFT($A145,5)="blank",0,IF(VLOOKUP($A147,dist3retail,3,FALSE)="$/kWh",VLOOKUP($A147,dist3retail,COLUMN(D147),FALSE)*100,IF(VLOOKUP($A147,dist3retail,3,FALSE)="$/mWh",VLOOKUP($A147,dist3retail,COLUMN(D147),FALSE)*100/1000,VLOOKUP($A147,dist3retail,COLUMN(D147),FALSE)))+(VLOOKUP(OFFSET(D147,-2,-1*(COLUMN(D147)-1)),$A$519:$H$523,COLUMN(D147),FALSE)))</f>
        <v>0</v>
      </c>
      <c r="E147" s="89">
        <f ca="1">IF(LEFT($A145,5)="blank",0,IF(VLOOKUP($A147,dist3retail,3,FALSE)="$/kWh",VLOOKUP($A147,dist3retail,COLUMN(E147),FALSE)*100,IF(VLOOKUP($A147,dist3retail,3,FALSE)="$/mWh",VLOOKUP($A147,dist3retail,COLUMN(E147),FALSE)*100/1000,VLOOKUP($A147,dist3retail,COLUMN(E147),FALSE)))+(VLOOKUP(OFFSET(E147,-2,-1*(COLUMN(E147)-1)),$A$519:$H$523,COLUMN(E147),FALSE)))</f>
        <v>0</v>
      </c>
      <c r="F147" s="89">
        <f ca="1">IF(LEFT($A145,5)="blank",0,IF(VLOOKUP($A147,dist3retail,3,FALSE)="$/kWh",VLOOKUP($A147,dist3retail,COLUMN(F147),FALSE)*100,IF(VLOOKUP($A147,dist3retail,3,FALSE)="$/mWh",VLOOKUP($A147,dist3retail,COLUMN(F147),FALSE)*100/1000,VLOOKUP($A147,dist3retail,COLUMN(F147),FALSE)))+(VLOOKUP(OFFSET(F147,-2,-1*(COLUMN(F147)-1)),$A$519:$H$523,COLUMN(F147),FALSE)))</f>
        <v>0</v>
      </c>
      <c r="G147" s="89">
        <f ca="1">IF(LEFT($A145,5)="blank",0,IF(VLOOKUP($A147,dist3retail,3,FALSE)="$/kWh",VLOOKUP($A147,dist3retail,COLUMN(G147),FALSE)*100,IF(VLOOKUP($A147,dist3retail,3,FALSE)="$/mWh",VLOOKUP($A147,dist3retail,COLUMN(G147),FALSE)*100/1000,VLOOKUP($A147,dist3retail,COLUMN(G147),FALSE)))+(VLOOKUP(OFFSET(G147,-2,-1*(COLUMN(G147)-1)),$A$519:$H$523,COLUMN(G147),FALSE)))</f>
        <v>0</v>
      </c>
      <c r="H147" s="89">
        <f ca="1">IF(LEFT($A145,5)="blank",0,IF(VLOOKUP($A147,dist3retail,3,FALSE)="$/kWh",VLOOKUP($A147,dist3retail,COLUMN(H147),FALSE)*100,IF(VLOOKUP($A147,dist3retail,3,FALSE)="$/mWh",VLOOKUP($A147,dist3retail,COLUMN(H147),FALSE)*100/1000,VLOOKUP($A147,dist3retail,COLUMN(H147),FALSE)))+(VLOOKUP(OFFSET(H147,-2,-1*(COLUMN(H147)-1)),$A$519:$H$523,COLUMN(H147),FALSE)))</f>
        <v>0</v>
      </c>
    </row>
    <row r="148" spans="1:9" s="21" customFormat="1" hidden="1" x14ac:dyDescent="0.3">
      <c r="D148" s="25"/>
      <c r="E148" s="25"/>
      <c r="F148" s="25"/>
      <c r="G148" s="25"/>
      <c r="H148" s="25"/>
    </row>
    <row r="149" spans="1:9" s="21" customFormat="1" hidden="1" x14ac:dyDescent="0.3">
      <c r="A149" s="24" t="str">
        <f>Dist4</f>
        <v>blank</v>
      </c>
      <c r="D149" s="25"/>
      <c r="E149" s="25"/>
      <c r="F149" s="25"/>
      <c r="G149" s="25"/>
      <c r="H149" s="25"/>
    </row>
    <row r="150" spans="1:9" s="21" customFormat="1" hidden="1" x14ac:dyDescent="0.3">
      <c r="A150" s="26" t="str">
        <f>A146</f>
        <v>Retail operating Cost</v>
      </c>
      <c r="B150" s="87" t="s">
        <v>25</v>
      </c>
      <c r="C150" s="21" t="s">
        <v>11</v>
      </c>
      <c r="D150" s="64">
        <f>IF(LEFT($A149,5)="blank",0,IF(VLOOKUP($A150,$A$385:$H$393,3,FALSE)="$/kWh",VLOOKUP($A150,$A$385:$H$393,COLUMN(D150),FALSE)*100,IF(VLOOKUP($A150,$A$385:$H$393,3,FALSE)="$/mWh",VLOOKUP($A150,$A$385:$H$393,COLUMN(D150),FALSE)*100/1000,VLOOKUP($A150,$A$385:$H$393,COLUMN(D150),FALSE))))</f>
        <v>0</v>
      </c>
      <c r="E150" s="64">
        <f>IF(LEFT($A149,5)="blank",0,IF(VLOOKUP($A150,$A$385:$H$393,3,FALSE)="$/kWh",VLOOKUP($A150,$A$385:$H$393,COLUMN(E150),FALSE)*100,IF(VLOOKUP($A150,$A$385:$H$393,3,FALSE)="$/mWh",VLOOKUP($A150,$A$385:$H$393,COLUMN(E150),FALSE)*100/1000,VLOOKUP($A150,$A$385:$H$393,COLUMN(E150),FALSE))))</f>
        <v>0</v>
      </c>
      <c r="F150" s="64">
        <f>IF(LEFT($A149,5)="blank",0,IF(VLOOKUP($A150,$A$385:$H$393,3,FALSE)="$/kWh",VLOOKUP($A150,$A$385:$H$393,COLUMN(F150),FALSE)*100,IF(VLOOKUP($A150,$A$385:$H$393,3,FALSE)="$/mWh",VLOOKUP($A150,$A$385:$H$393,COLUMN(F150),FALSE)*100/1000,VLOOKUP($A150,$A$385:$H$393,COLUMN(F150),FALSE))))</f>
        <v>0</v>
      </c>
      <c r="G150" s="64">
        <f>IF(LEFT($A149,5)="blank",0,IF(VLOOKUP($A150,$A$385:$H$393,3,FALSE)="$/kWh",VLOOKUP($A150,$A$385:$H$393,COLUMN(G150),FALSE)*100,IF(VLOOKUP($A150,$A$385:$H$393,3,FALSE)="$/mWh",VLOOKUP($A150,$A$385:$H$393,COLUMN(G150),FALSE)*100/1000,VLOOKUP($A150,$A$385:$H$393,COLUMN(G150),FALSE))))</f>
        <v>0</v>
      </c>
      <c r="H150" s="64">
        <f>IF(LEFT($A149,5)="blank",0,IF(VLOOKUP($A150,$A$385:$H$393,3,FALSE)="$/kWh",VLOOKUP($A150,$A$385:$H$393,COLUMN(H150),FALSE)*100,IF(VLOOKUP($A150,$A$385:$H$393,3,FALSE)="$/mWh",VLOOKUP($A150,$A$385:$H$393,COLUMN(H150),FALSE)*100/1000,VLOOKUP($A150,$A$385:$H$393,COLUMN(H150),FALSE))))</f>
        <v>0</v>
      </c>
    </row>
    <row r="151" spans="1:9" s="21" customFormat="1" hidden="1" x14ac:dyDescent="0.3">
      <c r="A151" s="26" t="s">
        <v>69</v>
      </c>
      <c r="B151" s="87" t="s">
        <v>25</v>
      </c>
      <c r="C151" s="21" t="s">
        <v>11</v>
      </c>
      <c r="D151" s="64">
        <f ca="1">IF(LEFT($A149,5)="blank",0,IF(VLOOKUP($A151,dist4retail,3,FALSE)="$/kWh",VLOOKUP($A151,dist4retail,COLUMN(D151),FALSE)*100,IF(VLOOKUP($A151,dist4retail,3,FALSE)="$/mWh",VLOOKUP($A151,dist4retail,COLUMN(D151),FALSE)*100/1000,VLOOKUP($A151,dist4retail,COLUMN(D151),FALSE)))+(VLOOKUP(OFFSET(D151,-2,-1*(COLUMN(D151)-1)),$A$519:$H$523,COLUMN(D151),FALSE)))</f>
        <v>0</v>
      </c>
      <c r="E151" s="64">
        <f ca="1">IF(LEFT($A149,5)="blank",0,IF(VLOOKUP($A151,dist4retail,3,FALSE)="$/kWh",VLOOKUP($A151,dist4retail,COLUMN(E151),FALSE)*100,IF(VLOOKUP($A151,dist4retail,3,FALSE)="$/mWh",VLOOKUP($A151,dist4retail,COLUMN(E151),FALSE)*100/1000,VLOOKUP($A151,dist4retail,COLUMN(E151),FALSE)))+(VLOOKUP(OFFSET(E151,-2,-1*(COLUMN(E151)-1)),$A$519:$H$523,COLUMN(E151),FALSE)))</f>
        <v>0</v>
      </c>
      <c r="F151" s="64">
        <f ca="1">IF(LEFT($A149,5)="blank",0,IF(VLOOKUP($A151,dist4retail,3,FALSE)="$/kWh",VLOOKUP($A151,dist4retail,COLUMN(F151),FALSE)*100,IF(VLOOKUP($A151,dist4retail,3,FALSE)="$/mWh",VLOOKUP($A151,dist4retail,COLUMN(F151),FALSE)*100/1000,VLOOKUP($A151,dist4retail,COLUMN(F151),FALSE)))+(VLOOKUP(OFFSET(F151,-2,-1*(COLUMN(F151)-1)),$A$519:$H$523,COLUMN(F151),FALSE)))</f>
        <v>0</v>
      </c>
      <c r="G151" s="64">
        <f ca="1">IF(LEFT($A149,5)="blank",0,IF(VLOOKUP($A151,dist4retail,3,FALSE)="$/kWh",VLOOKUP($A151,dist4retail,COLUMN(G151),FALSE)*100,IF(VLOOKUP($A151,dist4retail,3,FALSE)="$/mWh",VLOOKUP($A151,dist4retail,COLUMN(G151),FALSE)*100/1000,VLOOKUP($A151,dist4retail,COLUMN(G151),FALSE)))+(VLOOKUP(OFFSET(G151,-2,-1*(COLUMN(G151)-1)),$A$519:$H$523,COLUMN(G151),FALSE)))</f>
        <v>0</v>
      </c>
      <c r="H151" s="64">
        <f ca="1">IF(LEFT($A149,5)="blank",0,IF(VLOOKUP($A151,dist4retail,3,FALSE)="$/kWh",VLOOKUP($A151,dist4retail,COLUMN(H151),FALSE)*100,IF(VLOOKUP($A151,dist4retail,3,FALSE)="$/mWh",VLOOKUP($A151,dist4retail,COLUMN(H151),FALSE)*100/1000,VLOOKUP($A151,dist4retail,COLUMN(H151),FALSE)))+(VLOOKUP(OFFSET(H151,-2,-1*(COLUMN(H151)-1)),$A$519:$H$523,COLUMN(H151),FALSE)))</f>
        <v>0</v>
      </c>
    </row>
    <row r="152" spans="1:9" s="21" customFormat="1" hidden="1" x14ac:dyDescent="0.3">
      <c r="D152" s="25"/>
      <c r="E152" s="25"/>
      <c r="F152" s="25"/>
      <c r="G152" s="25"/>
      <c r="H152" s="25"/>
    </row>
    <row r="153" spans="1:9" s="21" customFormat="1" hidden="1" x14ac:dyDescent="0.3">
      <c r="A153" s="24" t="str">
        <f>Dist5</f>
        <v>blank</v>
      </c>
      <c r="D153" s="25"/>
      <c r="E153" s="25"/>
      <c r="F153" s="25"/>
      <c r="G153" s="25"/>
      <c r="H153" s="25"/>
    </row>
    <row r="154" spans="1:9" s="21" customFormat="1" hidden="1" x14ac:dyDescent="0.3">
      <c r="A154" s="26" t="str">
        <f>A150</f>
        <v>Retail operating Cost</v>
      </c>
      <c r="B154" s="87" t="s">
        <v>25</v>
      </c>
      <c r="C154" s="21" t="s">
        <v>11</v>
      </c>
      <c r="D154" s="64">
        <f>IF(LEFT($A153,5)="blank",0,IF(VLOOKUP($A154,$A$396:$H$404,3,FALSE)="$/kWh",VLOOKUP($A154,$A$396:$H$404,COLUMN(D154),FALSE)*100,IF(VLOOKUP($A154,$A$396:$H$404,3,FALSE)="$/mWh",VLOOKUP($A154,$A$396:$H$404,COLUMN(D154),FALSE)*100/1000,VLOOKUP($A154,$A$396:$H$404,COLUMN(D154),FALSE))))</f>
        <v>0</v>
      </c>
      <c r="E154" s="64">
        <f>IF(LEFT($A153,5)="blank",0,IF(VLOOKUP($A154,$A$396:$H$404,3,FALSE)="$/kWh",VLOOKUP($A154,$A$396:$H$404,COLUMN(E154),FALSE)*100,IF(VLOOKUP($A154,$A$396:$H$404,3,FALSE)="$/mWh",VLOOKUP($A154,$A$396:$H$404,COLUMN(E154),FALSE)*100/1000,VLOOKUP($A154,$A$396:$H$404,COLUMN(E154),FALSE))))</f>
        <v>0</v>
      </c>
      <c r="F154" s="64">
        <f>IF(LEFT($A153,5)="blank",0,IF(VLOOKUP($A154,$A$396:$H$404,3,FALSE)="$/kWh",VLOOKUP($A154,$A$396:$H$404,COLUMN(F154),FALSE)*100,IF(VLOOKUP($A154,$A$396:$H$404,3,FALSE)="$/mWh",VLOOKUP($A154,$A$396:$H$404,COLUMN(F154),FALSE)*100/1000,VLOOKUP($A154,$A$396:$H$404,COLUMN(F154),FALSE))))</f>
        <v>0</v>
      </c>
      <c r="G154" s="64">
        <f>IF(LEFT($A153,5)="blank",0,IF(VLOOKUP($A154,$A$396:$H$404,3,FALSE)="$/kWh",VLOOKUP($A154,$A$396:$H$404,COLUMN(G154),FALSE)*100,IF(VLOOKUP($A154,$A$396:$H$404,3,FALSE)="$/mWh",VLOOKUP($A154,$A$396:$H$404,COLUMN(G154),FALSE)*100/1000,VLOOKUP($A154,$A$396:$H$404,COLUMN(G154),FALSE))))</f>
        <v>0</v>
      </c>
      <c r="H154" s="64">
        <f>IF(LEFT($A153,5)="blank",0,IF(VLOOKUP($A154,$A$396:$H$404,3,FALSE)="$/kWh",VLOOKUP($A154,$A$396:$H$404,COLUMN(H154),FALSE)*100,IF(VLOOKUP($A154,$A$396:$H$404,3,FALSE)="$/mWh",VLOOKUP($A154,$A$396:$H$404,COLUMN(H154),FALSE)*100/1000,VLOOKUP($A154,$A$396:$H$404,COLUMN(H154),FALSE))))</f>
        <v>0</v>
      </c>
    </row>
    <row r="155" spans="1:9" s="21" customFormat="1" hidden="1" x14ac:dyDescent="0.3">
      <c r="A155" s="26" t="s">
        <v>69</v>
      </c>
      <c r="B155" s="87" t="s">
        <v>25</v>
      </c>
      <c r="C155" s="21" t="s">
        <v>11</v>
      </c>
      <c r="D155" s="64">
        <f ca="1">IF(LEFT($A153,5)="blank",0,IF(VLOOKUP($A155,dist5retail,3,FALSE)="$/kWh",VLOOKUP($A155,dist5retail,COLUMN(D155),FALSE)*100,IF(VLOOKUP($A155,dist5retail,3,FALSE)="$/mWh",VLOOKUP($A155,dist5retail,COLUMN(D155),FALSE)*100/1000,VLOOKUP($A155,dist5retail,COLUMN(D155),FALSE)))+(VLOOKUP(OFFSET(D155,-2,-1*(COLUMN(D155)-1)),$A$519:$H$523,COLUMN(D155),FALSE)))</f>
        <v>0</v>
      </c>
      <c r="E155" s="64">
        <f ca="1">IF(LEFT($A153,5)="blank",0,IF(VLOOKUP($A155,dist5retail,3,FALSE)="$/kWh",VLOOKUP($A155,dist5retail,COLUMN(E155),FALSE)*100,IF(VLOOKUP($A155,dist5retail,3,FALSE)="$/mWh",VLOOKUP($A155,dist5retail,COLUMN(E155),FALSE)*100/1000,VLOOKUP($A155,dist5retail,COLUMN(E155),FALSE)))+(VLOOKUP(OFFSET(E155,-2,-1*(COLUMN(E155)-1)),$A$519:$H$523,COLUMN(E155),FALSE)))</f>
        <v>0</v>
      </c>
      <c r="F155" s="64">
        <f ca="1">IF(LEFT($A153,5)="blank",0,IF(VLOOKUP($A155,dist5retail,3,FALSE)="$/kWh",VLOOKUP($A155,dist5retail,COLUMN(F155),FALSE)*100,IF(VLOOKUP($A155,dist5retail,3,FALSE)="$/mWh",VLOOKUP($A155,dist5retail,COLUMN(F155),FALSE)*100/1000,VLOOKUP($A155,dist5retail,COLUMN(F155),FALSE)))+(VLOOKUP(OFFSET(F155,-2,-1*(COLUMN(F155)-1)),$A$519:$H$523,COLUMN(F155),FALSE)))</f>
        <v>0</v>
      </c>
      <c r="G155" s="64">
        <f ca="1">IF(LEFT($A153,5)="blank",0,IF(VLOOKUP($A155,dist5retail,3,FALSE)="$/kWh",VLOOKUP($A155,dist5retail,COLUMN(G155),FALSE)*100,IF(VLOOKUP($A155,dist5retail,3,FALSE)="$/mWh",VLOOKUP($A155,dist5retail,COLUMN(G155),FALSE)*100/1000,VLOOKUP($A155,dist5retail,COLUMN(G155),FALSE)))+(VLOOKUP(OFFSET(G155,-2,-1*(COLUMN(G155)-1)),$A$519:$H$523,COLUMN(G155),FALSE)))</f>
        <v>0</v>
      </c>
      <c r="H155" s="64">
        <f ca="1">IF(LEFT($A153,5)="blank",0,IF(VLOOKUP($A155,dist5retail,3,FALSE)="$/kWh",VLOOKUP($A155,dist5retail,COLUMN(H155),FALSE)*100,IF(VLOOKUP($A155,dist5retail,3,FALSE)="$/mWh",VLOOKUP($A155,dist5retail,COLUMN(H155),FALSE)*100/1000,VLOOKUP($A155,dist5retail,COLUMN(H155),FALSE)))+(VLOOKUP(OFFSET(H155,-2,-1*(COLUMN(H155)-1)),$A$519:$H$523,COLUMN(H155),FALSE)))</f>
        <v>0</v>
      </c>
    </row>
    <row r="156" spans="1:9" s="21" customFormat="1" hidden="1" x14ac:dyDescent="0.3">
      <c r="A156" s="8"/>
      <c r="D156" s="25"/>
      <c r="E156" s="25"/>
      <c r="F156" s="25"/>
      <c r="G156" s="25"/>
      <c r="H156" s="25"/>
    </row>
    <row r="157" spans="1:9" s="21" customFormat="1" hidden="1" x14ac:dyDescent="0.3">
      <c r="A157" s="8" t="str">
        <f>Scheme1</f>
        <v>blank</v>
      </c>
      <c r="D157" s="25"/>
      <c r="E157" s="25"/>
      <c r="F157" s="25"/>
      <c r="G157" s="25"/>
      <c r="H157" s="25"/>
    </row>
    <row r="158" spans="1:9" s="21" customFormat="1" hidden="1" x14ac:dyDescent="0.3">
      <c r="A158" s="24" t="str">
        <f>Dist1</f>
        <v>Northern Territory</v>
      </c>
      <c r="D158" s="25"/>
      <c r="E158" s="25"/>
      <c r="F158" s="25"/>
      <c r="G158" s="25"/>
      <c r="H158" s="25"/>
    </row>
    <row r="159" spans="1:9" s="21" customFormat="1" hidden="1" x14ac:dyDescent="0.3">
      <c r="A159" s="21" t="str">
        <f ca="1">'Calc (Jurisdiction)'!$B$2</f>
        <v>Calc (Jurisdiction)</v>
      </c>
      <c r="B159" s="87" t="s">
        <v>25</v>
      </c>
      <c r="C159" s="21" t="s">
        <v>11</v>
      </c>
      <c r="D159" s="64">
        <f t="shared" ref="D159:H163" si="31">IF(LEFT($A$157,5)="blank",0,IF(LEFT($A$158,5)="blank",0,IF(LEFT($A159,5)="blank",0,D$359+VLOOKUP($A159,dist1scheme1,COLUMN(D159),FALSE))))</f>
        <v>0</v>
      </c>
      <c r="E159" s="64">
        <f t="shared" si="31"/>
        <v>0</v>
      </c>
      <c r="F159" s="64">
        <f t="shared" si="31"/>
        <v>0</v>
      </c>
      <c r="G159" s="64">
        <f t="shared" si="31"/>
        <v>0</v>
      </c>
      <c r="H159" s="64">
        <f t="shared" si="31"/>
        <v>0</v>
      </c>
      <c r="I159" s="27"/>
    </row>
    <row r="160" spans="1:9" s="21" customFormat="1" hidden="1" x14ac:dyDescent="0.3">
      <c r="A160" s="21" t="e">
        <f>#REF!</f>
        <v>#REF!</v>
      </c>
      <c r="B160" s="87" t="s">
        <v>25</v>
      </c>
      <c r="C160" s="21" t="s">
        <v>11</v>
      </c>
      <c r="D160" s="64">
        <f t="shared" si="31"/>
        <v>0</v>
      </c>
      <c r="E160" s="64">
        <f t="shared" si="31"/>
        <v>0</v>
      </c>
      <c r="F160" s="64">
        <f t="shared" si="31"/>
        <v>0</v>
      </c>
      <c r="G160" s="64">
        <f t="shared" si="31"/>
        <v>0</v>
      </c>
      <c r="H160" s="64">
        <f t="shared" si="31"/>
        <v>0</v>
      </c>
      <c r="I160" s="27"/>
    </row>
    <row r="161" spans="1:9" s="21" customFormat="1" hidden="1" x14ac:dyDescent="0.3">
      <c r="A161" s="21" t="e">
        <f>#REF!</f>
        <v>#REF!</v>
      </c>
      <c r="B161" s="87" t="s">
        <v>25</v>
      </c>
      <c r="C161" s="21" t="s">
        <v>11</v>
      </c>
      <c r="D161" s="64">
        <f t="shared" si="31"/>
        <v>0</v>
      </c>
      <c r="E161" s="64">
        <f t="shared" si="31"/>
        <v>0</v>
      </c>
      <c r="F161" s="64">
        <f t="shared" si="31"/>
        <v>0</v>
      </c>
      <c r="G161" s="64">
        <f t="shared" si="31"/>
        <v>0</v>
      </c>
      <c r="H161" s="64">
        <f t="shared" si="31"/>
        <v>0</v>
      </c>
      <c r="I161" s="27"/>
    </row>
    <row r="162" spans="1:9" s="21" customFormat="1" hidden="1" x14ac:dyDescent="0.3">
      <c r="A162" s="21" t="e">
        <f>#REF!</f>
        <v>#REF!</v>
      </c>
      <c r="B162" s="87" t="s">
        <v>25</v>
      </c>
      <c r="C162" s="21" t="s">
        <v>11</v>
      </c>
      <c r="D162" s="64">
        <f t="shared" si="31"/>
        <v>0</v>
      </c>
      <c r="E162" s="64">
        <f t="shared" si="31"/>
        <v>0</v>
      </c>
      <c r="F162" s="64">
        <f t="shared" si="31"/>
        <v>0</v>
      </c>
      <c r="G162" s="64">
        <f t="shared" si="31"/>
        <v>0</v>
      </c>
      <c r="H162" s="64">
        <f t="shared" si="31"/>
        <v>0</v>
      </c>
      <c r="I162" s="27"/>
    </row>
    <row r="163" spans="1:9" s="21" customFormat="1" hidden="1" x14ac:dyDescent="0.3">
      <c r="A163" s="21" t="e">
        <f>#REF!</f>
        <v>#REF!</v>
      </c>
      <c r="B163" s="87" t="s">
        <v>25</v>
      </c>
      <c r="C163" s="21" t="s">
        <v>11</v>
      </c>
      <c r="D163" s="64">
        <f t="shared" si="31"/>
        <v>0</v>
      </c>
      <c r="E163" s="64">
        <f t="shared" si="31"/>
        <v>0</v>
      </c>
      <c r="F163" s="64">
        <f t="shared" si="31"/>
        <v>0</v>
      </c>
      <c r="G163" s="64">
        <f t="shared" si="31"/>
        <v>0</v>
      </c>
      <c r="H163" s="64">
        <f t="shared" si="31"/>
        <v>0</v>
      </c>
      <c r="I163" s="27"/>
    </row>
    <row r="164" spans="1:9" s="21" customFormat="1" hidden="1" x14ac:dyDescent="0.3">
      <c r="A164" s="24" t="str">
        <f>Dist2</f>
        <v>blank</v>
      </c>
      <c r="D164" s="58"/>
      <c r="E164" s="58"/>
      <c r="F164" s="58"/>
      <c r="G164" s="58"/>
      <c r="H164" s="58"/>
      <c r="I164" s="29"/>
    </row>
    <row r="165" spans="1:9" s="21" customFormat="1" hidden="1" x14ac:dyDescent="0.3">
      <c r="A165" s="21" t="str">
        <f ca="1">'Calc (Jurisdiction)'!$B$2</f>
        <v>Calc (Jurisdiction)</v>
      </c>
      <c r="B165" s="87" t="s">
        <v>25</v>
      </c>
      <c r="C165" s="21" t="s">
        <v>11</v>
      </c>
      <c r="D165" s="64">
        <f t="shared" ref="D165:H169" si="32">IF(LEFT($A$157,5)="blank",0,IF(LEFT($A$164,5)="blank",0,IF(LEFT($A165,5)="blank",0,D$370+VLOOKUP($A165,dist2scheme1,COLUMN(D165),FALSE))))</f>
        <v>0</v>
      </c>
      <c r="E165" s="64">
        <f t="shared" si="32"/>
        <v>0</v>
      </c>
      <c r="F165" s="64">
        <f t="shared" si="32"/>
        <v>0</v>
      </c>
      <c r="G165" s="64">
        <f t="shared" si="32"/>
        <v>0</v>
      </c>
      <c r="H165" s="64">
        <f t="shared" si="32"/>
        <v>0</v>
      </c>
    </row>
    <row r="166" spans="1:9" s="21" customFormat="1" hidden="1" x14ac:dyDescent="0.3">
      <c r="A166" s="21" t="e">
        <f>#REF!</f>
        <v>#REF!</v>
      </c>
      <c r="B166" s="87" t="s">
        <v>25</v>
      </c>
      <c r="C166" s="21" t="s">
        <v>11</v>
      </c>
      <c r="D166" s="64">
        <f t="shared" si="32"/>
        <v>0</v>
      </c>
      <c r="E166" s="64">
        <f t="shared" si="32"/>
        <v>0</v>
      </c>
      <c r="F166" s="64">
        <f t="shared" si="32"/>
        <v>0</v>
      </c>
      <c r="G166" s="64">
        <f t="shared" si="32"/>
        <v>0</v>
      </c>
      <c r="H166" s="64">
        <f t="shared" si="32"/>
        <v>0</v>
      </c>
    </row>
    <row r="167" spans="1:9" s="21" customFormat="1" hidden="1" x14ac:dyDescent="0.3">
      <c r="A167" s="21" t="e">
        <f>#REF!</f>
        <v>#REF!</v>
      </c>
      <c r="B167" s="87" t="s">
        <v>25</v>
      </c>
      <c r="C167" s="21" t="s">
        <v>11</v>
      </c>
      <c r="D167" s="64">
        <f t="shared" si="32"/>
        <v>0</v>
      </c>
      <c r="E167" s="64">
        <f t="shared" si="32"/>
        <v>0</v>
      </c>
      <c r="F167" s="64">
        <f t="shared" si="32"/>
        <v>0</v>
      </c>
      <c r="G167" s="64">
        <f t="shared" si="32"/>
        <v>0</v>
      </c>
      <c r="H167" s="64">
        <f t="shared" si="32"/>
        <v>0</v>
      </c>
    </row>
    <row r="168" spans="1:9" s="21" customFormat="1" hidden="1" x14ac:dyDescent="0.3">
      <c r="A168" s="21" t="e">
        <f>#REF!</f>
        <v>#REF!</v>
      </c>
      <c r="B168" s="87" t="s">
        <v>25</v>
      </c>
      <c r="C168" s="21" t="s">
        <v>11</v>
      </c>
      <c r="D168" s="64">
        <f t="shared" si="32"/>
        <v>0</v>
      </c>
      <c r="E168" s="64">
        <f t="shared" si="32"/>
        <v>0</v>
      </c>
      <c r="F168" s="64">
        <f t="shared" si="32"/>
        <v>0</v>
      </c>
      <c r="G168" s="64">
        <f t="shared" si="32"/>
        <v>0</v>
      </c>
      <c r="H168" s="64">
        <f t="shared" si="32"/>
        <v>0</v>
      </c>
    </row>
    <row r="169" spans="1:9" s="21" customFormat="1" hidden="1" x14ac:dyDescent="0.3">
      <c r="A169" s="21" t="e">
        <f>#REF!</f>
        <v>#REF!</v>
      </c>
      <c r="B169" s="87" t="s">
        <v>25</v>
      </c>
      <c r="C169" s="21" t="s">
        <v>11</v>
      </c>
      <c r="D169" s="64">
        <f t="shared" si="32"/>
        <v>0</v>
      </c>
      <c r="E169" s="64">
        <f t="shared" si="32"/>
        <v>0</v>
      </c>
      <c r="F169" s="64">
        <f t="shared" si="32"/>
        <v>0</v>
      </c>
      <c r="G169" s="64">
        <f t="shared" si="32"/>
        <v>0</v>
      </c>
      <c r="H169" s="64">
        <f t="shared" si="32"/>
        <v>0</v>
      </c>
    </row>
    <row r="170" spans="1:9" s="21" customFormat="1" hidden="1" x14ac:dyDescent="0.3">
      <c r="A170" s="24" t="str">
        <f>Dist3</f>
        <v>blank</v>
      </c>
      <c r="D170" s="25"/>
      <c r="E170" s="25"/>
      <c r="F170" s="25"/>
      <c r="G170" s="25"/>
      <c r="H170" s="25"/>
    </row>
    <row r="171" spans="1:9" s="21" customFormat="1" hidden="1" x14ac:dyDescent="0.3">
      <c r="A171" s="21" t="str">
        <f ca="1">'Calc (Jurisdiction)'!$B$2</f>
        <v>Calc (Jurisdiction)</v>
      </c>
      <c r="B171" s="87" t="s">
        <v>25</v>
      </c>
      <c r="C171" s="21" t="s">
        <v>11</v>
      </c>
      <c r="D171" s="64">
        <f t="shared" ref="D171:H175" si="33">IF(LEFT($A$157,5)="blank",0,IF(LEFT($A$170,5)="blank",0,IF(LEFT($A171,5)="blank",0,D$381+VLOOKUP($A171,dist3scheme1,COLUMN(D171),FALSE))))</f>
        <v>0</v>
      </c>
      <c r="E171" s="64">
        <f t="shared" si="33"/>
        <v>0</v>
      </c>
      <c r="F171" s="64">
        <f t="shared" si="33"/>
        <v>0</v>
      </c>
      <c r="G171" s="64">
        <f t="shared" si="33"/>
        <v>0</v>
      </c>
      <c r="H171" s="64">
        <f t="shared" si="33"/>
        <v>0</v>
      </c>
    </row>
    <row r="172" spans="1:9" s="21" customFormat="1" hidden="1" x14ac:dyDescent="0.3">
      <c r="A172" s="21" t="e">
        <f>#REF!</f>
        <v>#REF!</v>
      </c>
      <c r="B172" s="87" t="s">
        <v>25</v>
      </c>
      <c r="C172" s="21" t="s">
        <v>11</v>
      </c>
      <c r="D172" s="64">
        <f t="shared" si="33"/>
        <v>0</v>
      </c>
      <c r="E172" s="64">
        <f t="shared" si="33"/>
        <v>0</v>
      </c>
      <c r="F172" s="64">
        <f t="shared" si="33"/>
        <v>0</v>
      </c>
      <c r="G172" s="64">
        <f t="shared" si="33"/>
        <v>0</v>
      </c>
      <c r="H172" s="64">
        <f t="shared" si="33"/>
        <v>0</v>
      </c>
    </row>
    <row r="173" spans="1:9" s="21" customFormat="1" hidden="1" x14ac:dyDescent="0.3">
      <c r="A173" s="21" t="e">
        <f>#REF!</f>
        <v>#REF!</v>
      </c>
      <c r="B173" s="87" t="s">
        <v>25</v>
      </c>
      <c r="C173" s="21" t="s">
        <v>11</v>
      </c>
      <c r="D173" s="64">
        <f t="shared" si="33"/>
        <v>0</v>
      </c>
      <c r="E173" s="64">
        <f t="shared" si="33"/>
        <v>0</v>
      </c>
      <c r="F173" s="64">
        <f t="shared" si="33"/>
        <v>0</v>
      </c>
      <c r="G173" s="64">
        <f t="shared" si="33"/>
        <v>0</v>
      </c>
      <c r="H173" s="64">
        <f t="shared" si="33"/>
        <v>0</v>
      </c>
    </row>
    <row r="174" spans="1:9" s="21" customFormat="1" hidden="1" x14ac:dyDescent="0.3">
      <c r="A174" s="21" t="e">
        <f>#REF!</f>
        <v>#REF!</v>
      </c>
      <c r="B174" s="87" t="s">
        <v>25</v>
      </c>
      <c r="C174" s="21" t="s">
        <v>11</v>
      </c>
      <c r="D174" s="64">
        <f t="shared" si="33"/>
        <v>0</v>
      </c>
      <c r="E174" s="64">
        <f t="shared" si="33"/>
        <v>0</v>
      </c>
      <c r="F174" s="64">
        <f t="shared" si="33"/>
        <v>0</v>
      </c>
      <c r="G174" s="64">
        <f t="shared" si="33"/>
        <v>0</v>
      </c>
      <c r="H174" s="64">
        <f t="shared" si="33"/>
        <v>0</v>
      </c>
    </row>
    <row r="175" spans="1:9" s="21" customFormat="1" hidden="1" x14ac:dyDescent="0.3">
      <c r="A175" s="21" t="e">
        <f>#REF!</f>
        <v>#REF!</v>
      </c>
      <c r="B175" s="87" t="s">
        <v>25</v>
      </c>
      <c r="C175" s="21" t="s">
        <v>11</v>
      </c>
      <c r="D175" s="64">
        <f t="shared" si="33"/>
        <v>0</v>
      </c>
      <c r="E175" s="64">
        <f t="shared" si="33"/>
        <v>0</v>
      </c>
      <c r="F175" s="64">
        <f t="shared" si="33"/>
        <v>0</v>
      </c>
      <c r="G175" s="64">
        <f t="shared" si="33"/>
        <v>0</v>
      </c>
      <c r="H175" s="64">
        <f t="shared" si="33"/>
        <v>0</v>
      </c>
    </row>
    <row r="176" spans="1:9" s="21" customFormat="1" hidden="1" x14ac:dyDescent="0.3">
      <c r="A176" s="24" t="str">
        <f>Dist4</f>
        <v>blank</v>
      </c>
      <c r="D176" s="25"/>
      <c r="E176" s="25"/>
      <c r="F176" s="25"/>
      <c r="G176" s="25"/>
      <c r="H176" s="25"/>
    </row>
    <row r="177" spans="1:9" s="21" customFormat="1" hidden="1" x14ac:dyDescent="0.3">
      <c r="A177" s="21" t="str">
        <f ca="1">'Calc (Jurisdiction)'!$B$2</f>
        <v>Calc (Jurisdiction)</v>
      </c>
      <c r="B177" s="87" t="s">
        <v>25</v>
      </c>
      <c r="C177" s="21" t="s">
        <v>11</v>
      </c>
      <c r="D177" s="64">
        <f t="shared" ref="D177:H181" si="34">IF(LEFT($A$157,5)="blank",0,IF(LEFT($A$176,5)="blank",0,IF(LEFT($A177,5)="blank",0,D$392+VLOOKUP($A177,dist4scheme1,COLUMN(D177),FALSE))))</f>
        <v>0</v>
      </c>
      <c r="E177" s="89">
        <f t="shared" si="34"/>
        <v>0</v>
      </c>
      <c r="F177" s="89">
        <f t="shared" si="34"/>
        <v>0</v>
      </c>
      <c r="G177" s="89">
        <f t="shared" si="34"/>
        <v>0</v>
      </c>
      <c r="H177" s="89">
        <f t="shared" si="34"/>
        <v>0</v>
      </c>
    </row>
    <row r="178" spans="1:9" s="21" customFormat="1" hidden="1" x14ac:dyDescent="0.3">
      <c r="A178" s="21" t="e">
        <f>#REF!</f>
        <v>#REF!</v>
      </c>
      <c r="B178" s="87" t="s">
        <v>25</v>
      </c>
      <c r="C178" s="21" t="s">
        <v>11</v>
      </c>
      <c r="D178" s="89">
        <f t="shared" si="34"/>
        <v>0</v>
      </c>
      <c r="E178" s="89">
        <f t="shared" si="34"/>
        <v>0</v>
      </c>
      <c r="F178" s="89">
        <f t="shared" si="34"/>
        <v>0</v>
      </c>
      <c r="G178" s="89">
        <f t="shared" si="34"/>
        <v>0</v>
      </c>
      <c r="H178" s="89">
        <f t="shared" si="34"/>
        <v>0</v>
      </c>
    </row>
    <row r="179" spans="1:9" s="21" customFormat="1" hidden="1" x14ac:dyDescent="0.3">
      <c r="A179" s="21" t="e">
        <f>#REF!</f>
        <v>#REF!</v>
      </c>
      <c r="B179" s="87" t="s">
        <v>25</v>
      </c>
      <c r="C179" s="21" t="s">
        <v>11</v>
      </c>
      <c r="D179" s="89">
        <f t="shared" si="34"/>
        <v>0</v>
      </c>
      <c r="E179" s="89">
        <f t="shared" si="34"/>
        <v>0</v>
      </c>
      <c r="F179" s="89">
        <f t="shared" si="34"/>
        <v>0</v>
      </c>
      <c r="G179" s="89">
        <f t="shared" si="34"/>
        <v>0</v>
      </c>
      <c r="H179" s="89">
        <f t="shared" si="34"/>
        <v>0</v>
      </c>
    </row>
    <row r="180" spans="1:9" s="21" customFormat="1" hidden="1" x14ac:dyDescent="0.3">
      <c r="A180" s="21" t="e">
        <f>#REF!</f>
        <v>#REF!</v>
      </c>
      <c r="B180" s="87" t="s">
        <v>25</v>
      </c>
      <c r="C180" s="21" t="s">
        <v>11</v>
      </c>
      <c r="D180" s="89">
        <f t="shared" si="34"/>
        <v>0</v>
      </c>
      <c r="E180" s="89">
        <f t="shared" si="34"/>
        <v>0</v>
      </c>
      <c r="F180" s="89">
        <f t="shared" si="34"/>
        <v>0</v>
      </c>
      <c r="G180" s="89">
        <f t="shared" si="34"/>
        <v>0</v>
      </c>
      <c r="H180" s="89">
        <f t="shared" si="34"/>
        <v>0</v>
      </c>
    </row>
    <row r="181" spans="1:9" s="21" customFormat="1" hidden="1" x14ac:dyDescent="0.3">
      <c r="A181" s="21" t="e">
        <f>#REF!</f>
        <v>#REF!</v>
      </c>
      <c r="B181" s="87" t="s">
        <v>25</v>
      </c>
      <c r="C181" s="21" t="s">
        <v>11</v>
      </c>
      <c r="D181" s="89">
        <f t="shared" si="34"/>
        <v>0</v>
      </c>
      <c r="E181" s="89">
        <f t="shared" si="34"/>
        <v>0</v>
      </c>
      <c r="F181" s="89">
        <f t="shared" si="34"/>
        <v>0</v>
      </c>
      <c r="G181" s="89">
        <f t="shared" si="34"/>
        <v>0</v>
      </c>
      <c r="H181" s="89">
        <f t="shared" si="34"/>
        <v>0</v>
      </c>
    </row>
    <row r="182" spans="1:9" s="21" customFormat="1" hidden="1" x14ac:dyDescent="0.3">
      <c r="A182" s="24" t="str">
        <f>Dist5</f>
        <v>blank</v>
      </c>
      <c r="D182" s="25"/>
      <c r="E182" s="25"/>
      <c r="F182" s="25"/>
      <c r="G182" s="25"/>
      <c r="H182" s="25"/>
    </row>
    <row r="183" spans="1:9" s="21" customFormat="1" hidden="1" x14ac:dyDescent="0.3">
      <c r="A183" s="21" t="str">
        <f ca="1">'Calc (Jurisdiction)'!$B$2</f>
        <v>Calc (Jurisdiction)</v>
      </c>
      <c r="B183" s="87" t="s">
        <v>25</v>
      </c>
      <c r="C183" s="21" t="s">
        <v>11</v>
      </c>
      <c r="D183" s="64">
        <f t="shared" ref="D183:H187" si="35">IF(LEFT($A$157,5)="blank",0,IF(LEFT($A$182,5)="blank",0,IF(LEFT($A183,5)="blank",0,D$403+VLOOKUP($A183,dist5scheme1,COLUMN(D183),FALSE))))</f>
        <v>0</v>
      </c>
      <c r="E183" s="64">
        <f t="shared" si="35"/>
        <v>0</v>
      </c>
      <c r="F183" s="64">
        <f t="shared" si="35"/>
        <v>0</v>
      </c>
      <c r="G183" s="64">
        <f t="shared" si="35"/>
        <v>0</v>
      </c>
      <c r="H183" s="64">
        <f t="shared" si="35"/>
        <v>0</v>
      </c>
    </row>
    <row r="184" spans="1:9" s="21" customFormat="1" hidden="1" x14ac:dyDescent="0.3">
      <c r="A184" s="21" t="e">
        <f>#REF!</f>
        <v>#REF!</v>
      </c>
      <c r="B184" s="87" t="s">
        <v>25</v>
      </c>
      <c r="C184" s="21" t="s">
        <v>11</v>
      </c>
      <c r="D184" s="64">
        <f t="shared" si="35"/>
        <v>0</v>
      </c>
      <c r="E184" s="64">
        <f t="shared" si="35"/>
        <v>0</v>
      </c>
      <c r="F184" s="64">
        <f t="shared" si="35"/>
        <v>0</v>
      </c>
      <c r="G184" s="64">
        <f t="shared" si="35"/>
        <v>0</v>
      </c>
      <c r="H184" s="64">
        <f t="shared" si="35"/>
        <v>0</v>
      </c>
    </row>
    <row r="185" spans="1:9" s="21" customFormat="1" hidden="1" x14ac:dyDescent="0.3">
      <c r="A185" s="21" t="e">
        <f>#REF!</f>
        <v>#REF!</v>
      </c>
      <c r="B185" s="87" t="s">
        <v>25</v>
      </c>
      <c r="C185" s="21" t="s">
        <v>11</v>
      </c>
      <c r="D185" s="64">
        <f t="shared" si="35"/>
        <v>0</v>
      </c>
      <c r="E185" s="64">
        <f t="shared" si="35"/>
        <v>0</v>
      </c>
      <c r="F185" s="64">
        <f t="shared" si="35"/>
        <v>0</v>
      </c>
      <c r="G185" s="64">
        <f t="shared" si="35"/>
        <v>0</v>
      </c>
      <c r="H185" s="64">
        <f t="shared" si="35"/>
        <v>0</v>
      </c>
    </row>
    <row r="186" spans="1:9" s="21" customFormat="1" hidden="1" x14ac:dyDescent="0.3">
      <c r="A186" s="21" t="e">
        <f>#REF!</f>
        <v>#REF!</v>
      </c>
      <c r="B186" s="87" t="s">
        <v>25</v>
      </c>
      <c r="C186" s="21" t="s">
        <v>11</v>
      </c>
      <c r="D186" s="64">
        <f t="shared" si="35"/>
        <v>0</v>
      </c>
      <c r="E186" s="64">
        <f t="shared" si="35"/>
        <v>0</v>
      </c>
      <c r="F186" s="64">
        <f t="shared" si="35"/>
        <v>0</v>
      </c>
      <c r="G186" s="64">
        <f t="shared" si="35"/>
        <v>0</v>
      </c>
      <c r="H186" s="64">
        <f t="shared" si="35"/>
        <v>0</v>
      </c>
    </row>
    <row r="187" spans="1:9" s="21" customFormat="1" hidden="1" x14ac:dyDescent="0.3">
      <c r="A187" s="21" t="e">
        <f>#REF!</f>
        <v>#REF!</v>
      </c>
      <c r="B187" s="87" t="s">
        <v>25</v>
      </c>
      <c r="C187" s="21" t="s">
        <v>11</v>
      </c>
      <c r="D187" s="64">
        <f t="shared" si="35"/>
        <v>0</v>
      </c>
      <c r="E187" s="64">
        <f t="shared" si="35"/>
        <v>0</v>
      </c>
      <c r="F187" s="64">
        <f t="shared" si="35"/>
        <v>0</v>
      </c>
      <c r="G187" s="64">
        <f t="shared" si="35"/>
        <v>0</v>
      </c>
      <c r="H187" s="64">
        <f t="shared" si="35"/>
        <v>0</v>
      </c>
    </row>
    <row r="188" spans="1:9" s="21" customFormat="1" hidden="1" x14ac:dyDescent="0.3">
      <c r="A188" s="8"/>
      <c r="D188" s="25"/>
      <c r="E188" s="25"/>
      <c r="F188" s="25"/>
      <c r="G188" s="25"/>
      <c r="H188" s="25"/>
    </row>
    <row r="189" spans="1:9" s="21" customFormat="1" hidden="1" x14ac:dyDescent="0.3">
      <c r="A189" s="8" t="str">
        <f>Scheme2</f>
        <v>blank</v>
      </c>
      <c r="D189" s="25"/>
      <c r="E189" s="25"/>
      <c r="F189" s="25"/>
      <c r="G189" s="25"/>
      <c r="H189" s="25"/>
    </row>
    <row r="190" spans="1:9" s="21" customFormat="1" hidden="1" x14ac:dyDescent="0.3">
      <c r="A190" s="24" t="str">
        <f>Dist1</f>
        <v>Northern Territory</v>
      </c>
      <c r="D190" s="25"/>
      <c r="E190" s="25"/>
      <c r="F190" s="25"/>
      <c r="G190" s="25"/>
      <c r="H190" s="25"/>
    </row>
    <row r="191" spans="1:9" s="21" customFormat="1" hidden="1" x14ac:dyDescent="0.3">
      <c r="A191" s="21" t="str">
        <f ca="1">'Calc (Jurisdiction)'!$B$2</f>
        <v>Calc (Jurisdiction)</v>
      </c>
      <c r="B191" s="87" t="s">
        <v>25</v>
      </c>
      <c r="C191" s="21" t="s">
        <v>11</v>
      </c>
      <c r="D191" s="64">
        <f t="shared" ref="D191:H195" si="36">IF(LEFT($A$189,5)="blank",0,IF(LEFT($A191,5)="blank",0,D$360+VLOOKUP($A191,dist1scheme2,COLUMN(D159),FALSE)))</f>
        <v>0</v>
      </c>
      <c r="E191" s="64">
        <f t="shared" si="36"/>
        <v>0</v>
      </c>
      <c r="F191" s="64">
        <f t="shared" si="36"/>
        <v>0</v>
      </c>
      <c r="G191" s="64">
        <f t="shared" si="36"/>
        <v>0</v>
      </c>
      <c r="H191" s="64">
        <f t="shared" si="36"/>
        <v>0</v>
      </c>
      <c r="I191" s="27"/>
    </row>
    <row r="192" spans="1:9" s="21" customFormat="1" hidden="1" x14ac:dyDescent="0.3">
      <c r="A192" s="21" t="e">
        <f>#REF!</f>
        <v>#REF!</v>
      </c>
      <c r="B192" s="87" t="s">
        <v>25</v>
      </c>
      <c r="C192" s="21" t="s">
        <v>11</v>
      </c>
      <c r="D192" s="64">
        <f t="shared" si="36"/>
        <v>0</v>
      </c>
      <c r="E192" s="64">
        <f t="shared" si="36"/>
        <v>0</v>
      </c>
      <c r="F192" s="64">
        <f t="shared" si="36"/>
        <v>0</v>
      </c>
      <c r="G192" s="64">
        <f t="shared" si="36"/>
        <v>0</v>
      </c>
      <c r="H192" s="64">
        <f t="shared" si="36"/>
        <v>0</v>
      </c>
      <c r="I192" s="27"/>
    </row>
    <row r="193" spans="1:9" s="21" customFormat="1" hidden="1" x14ac:dyDescent="0.3">
      <c r="A193" s="21" t="e">
        <f>#REF!</f>
        <v>#REF!</v>
      </c>
      <c r="B193" s="87" t="s">
        <v>25</v>
      </c>
      <c r="C193" s="21" t="s">
        <v>11</v>
      </c>
      <c r="D193" s="64">
        <f t="shared" si="36"/>
        <v>0</v>
      </c>
      <c r="E193" s="64">
        <f t="shared" si="36"/>
        <v>0</v>
      </c>
      <c r="F193" s="64">
        <f t="shared" si="36"/>
        <v>0</v>
      </c>
      <c r="G193" s="64">
        <f t="shared" si="36"/>
        <v>0</v>
      </c>
      <c r="H193" s="64">
        <f t="shared" si="36"/>
        <v>0</v>
      </c>
      <c r="I193" s="27"/>
    </row>
    <row r="194" spans="1:9" s="21" customFormat="1" hidden="1" x14ac:dyDescent="0.3">
      <c r="A194" s="21" t="e">
        <f>#REF!</f>
        <v>#REF!</v>
      </c>
      <c r="B194" s="87" t="s">
        <v>25</v>
      </c>
      <c r="C194" s="21" t="s">
        <v>11</v>
      </c>
      <c r="D194" s="64">
        <f t="shared" si="36"/>
        <v>0</v>
      </c>
      <c r="E194" s="64">
        <f t="shared" si="36"/>
        <v>0</v>
      </c>
      <c r="F194" s="64">
        <f t="shared" si="36"/>
        <v>0</v>
      </c>
      <c r="G194" s="64">
        <f t="shared" si="36"/>
        <v>0</v>
      </c>
      <c r="H194" s="64">
        <f t="shared" si="36"/>
        <v>0</v>
      </c>
      <c r="I194" s="27"/>
    </row>
    <row r="195" spans="1:9" s="21" customFormat="1" hidden="1" x14ac:dyDescent="0.3">
      <c r="A195" s="21" t="e">
        <f>#REF!</f>
        <v>#REF!</v>
      </c>
      <c r="B195" s="87" t="s">
        <v>25</v>
      </c>
      <c r="C195" s="21" t="s">
        <v>11</v>
      </c>
      <c r="D195" s="64">
        <f t="shared" si="36"/>
        <v>0</v>
      </c>
      <c r="E195" s="64">
        <f t="shared" si="36"/>
        <v>0</v>
      </c>
      <c r="F195" s="64">
        <f t="shared" si="36"/>
        <v>0</v>
      </c>
      <c r="G195" s="64">
        <f t="shared" si="36"/>
        <v>0</v>
      </c>
      <c r="H195" s="64">
        <f t="shared" si="36"/>
        <v>0</v>
      </c>
      <c r="I195" s="27"/>
    </row>
    <row r="196" spans="1:9" s="21" customFormat="1" hidden="1" x14ac:dyDescent="0.3">
      <c r="A196" s="24" t="str">
        <f>Dist2</f>
        <v>blank</v>
      </c>
      <c r="D196" s="58"/>
      <c r="E196" s="58"/>
      <c r="F196" s="58"/>
      <c r="G196" s="58"/>
      <c r="H196" s="58"/>
      <c r="I196" s="29"/>
    </row>
    <row r="197" spans="1:9" s="21" customFormat="1" hidden="1" x14ac:dyDescent="0.3">
      <c r="A197" s="21" t="str">
        <f ca="1">'Calc (Jurisdiction)'!$B$2</f>
        <v>Calc (Jurisdiction)</v>
      </c>
      <c r="B197" s="87" t="s">
        <v>25</v>
      </c>
      <c r="C197" s="21" t="s">
        <v>11</v>
      </c>
      <c r="D197" s="64">
        <f t="shared" ref="D197:H201" si="37">IF(LEFT($A$189,5)="blank",0,IF(LEFT($A197,5)="blank",0,D$371+VLOOKUP($A197,dist2scheme2,COLUMN(D165),FALSE)))</f>
        <v>0</v>
      </c>
      <c r="E197" s="64">
        <f t="shared" si="37"/>
        <v>0</v>
      </c>
      <c r="F197" s="64">
        <f t="shared" si="37"/>
        <v>0</v>
      </c>
      <c r="G197" s="64">
        <f t="shared" si="37"/>
        <v>0</v>
      </c>
      <c r="H197" s="64">
        <f t="shared" si="37"/>
        <v>0</v>
      </c>
    </row>
    <row r="198" spans="1:9" s="21" customFormat="1" hidden="1" x14ac:dyDescent="0.3">
      <c r="A198" s="21" t="e">
        <f>#REF!</f>
        <v>#REF!</v>
      </c>
      <c r="B198" s="87" t="s">
        <v>25</v>
      </c>
      <c r="C198" s="21" t="s">
        <v>11</v>
      </c>
      <c r="D198" s="89">
        <f t="shared" si="37"/>
        <v>0</v>
      </c>
      <c r="E198" s="89">
        <f t="shared" si="37"/>
        <v>0</v>
      </c>
      <c r="F198" s="89">
        <f t="shared" si="37"/>
        <v>0</v>
      </c>
      <c r="G198" s="89">
        <f t="shared" si="37"/>
        <v>0</v>
      </c>
      <c r="H198" s="89">
        <f t="shared" si="37"/>
        <v>0</v>
      </c>
    </row>
    <row r="199" spans="1:9" s="21" customFormat="1" hidden="1" x14ac:dyDescent="0.3">
      <c r="A199" s="21" t="e">
        <f>#REF!</f>
        <v>#REF!</v>
      </c>
      <c r="B199" s="87" t="s">
        <v>25</v>
      </c>
      <c r="C199" s="21" t="s">
        <v>11</v>
      </c>
      <c r="D199" s="89">
        <f t="shared" si="37"/>
        <v>0</v>
      </c>
      <c r="E199" s="89">
        <f t="shared" si="37"/>
        <v>0</v>
      </c>
      <c r="F199" s="89">
        <f t="shared" si="37"/>
        <v>0</v>
      </c>
      <c r="G199" s="89">
        <f t="shared" si="37"/>
        <v>0</v>
      </c>
      <c r="H199" s="89">
        <f t="shared" si="37"/>
        <v>0</v>
      </c>
    </row>
    <row r="200" spans="1:9" s="21" customFormat="1" hidden="1" x14ac:dyDescent="0.3">
      <c r="A200" s="21" t="e">
        <f>#REF!</f>
        <v>#REF!</v>
      </c>
      <c r="B200" s="87" t="s">
        <v>25</v>
      </c>
      <c r="C200" s="21" t="s">
        <v>11</v>
      </c>
      <c r="D200" s="89">
        <f t="shared" si="37"/>
        <v>0</v>
      </c>
      <c r="E200" s="89">
        <f t="shared" si="37"/>
        <v>0</v>
      </c>
      <c r="F200" s="89">
        <f t="shared" si="37"/>
        <v>0</v>
      </c>
      <c r="G200" s="89">
        <f t="shared" si="37"/>
        <v>0</v>
      </c>
      <c r="H200" s="89">
        <f t="shared" si="37"/>
        <v>0</v>
      </c>
    </row>
    <row r="201" spans="1:9" s="21" customFormat="1" hidden="1" x14ac:dyDescent="0.3">
      <c r="A201" s="21" t="e">
        <f>#REF!</f>
        <v>#REF!</v>
      </c>
      <c r="B201" s="87" t="s">
        <v>25</v>
      </c>
      <c r="C201" s="21" t="s">
        <v>11</v>
      </c>
      <c r="D201" s="89">
        <f t="shared" si="37"/>
        <v>0</v>
      </c>
      <c r="E201" s="89">
        <f t="shared" si="37"/>
        <v>0</v>
      </c>
      <c r="F201" s="89">
        <f t="shared" si="37"/>
        <v>0</v>
      </c>
      <c r="G201" s="89">
        <f t="shared" si="37"/>
        <v>0</v>
      </c>
      <c r="H201" s="89">
        <f t="shared" si="37"/>
        <v>0</v>
      </c>
    </row>
    <row r="202" spans="1:9" s="21" customFormat="1" hidden="1" x14ac:dyDescent="0.3">
      <c r="A202" s="24" t="str">
        <f>Dist3</f>
        <v>blank</v>
      </c>
      <c r="D202" s="25"/>
      <c r="E202" s="25"/>
      <c r="F202" s="25"/>
      <c r="G202" s="25"/>
      <c r="H202" s="25"/>
    </row>
    <row r="203" spans="1:9" s="21" customFormat="1" hidden="1" x14ac:dyDescent="0.3">
      <c r="A203" s="21" t="str">
        <f ca="1">'Calc (Jurisdiction)'!$B$2</f>
        <v>Calc (Jurisdiction)</v>
      </c>
      <c r="B203" s="87" t="s">
        <v>25</v>
      </c>
      <c r="C203" s="21" t="s">
        <v>11</v>
      </c>
      <c r="D203" s="64">
        <f t="shared" ref="D203:H207" si="38">IF(LEFT($A$189,5)="blank",0,IF(LEFT($A203,5)="blank",0,D$382+VLOOKUP($A203,dist3scheme2,COLUMN(D171),FALSE)))</f>
        <v>0</v>
      </c>
      <c r="E203" s="64">
        <f t="shared" si="38"/>
        <v>0</v>
      </c>
      <c r="F203" s="64">
        <f t="shared" si="38"/>
        <v>0</v>
      </c>
      <c r="G203" s="64">
        <f t="shared" si="38"/>
        <v>0</v>
      </c>
      <c r="H203" s="64">
        <f t="shared" si="38"/>
        <v>0</v>
      </c>
    </row>
    <row r="204" spans="1:9" s="21" customFormat="1" hidden="1" x14ac:dyDescent="0.3">
      <c r="A204" s="21" t="e">
        <f>#REF!</f>
        <v>#REF!</v>
      </c>
      <c r="B204" s="87" t="s">
        <v>25</v>
      </c>
      <c r="C204" s="21" t="s">
        <v>11</v>
      </c>
      <c r="D204" s="64">
        <f t="shared" si="38"/>
        <v>0</v>
      </c>
      <c r="E204" s="64">
        <f t="shared" si="38"/>
        <v>0</v>
      </c>
      <c r="F204" s="64">
        <f t="shared" si="38"/>
        <v>0</v>
      </c>
      <c r="G204" s="64">
        <f t="shared" si="38"/>
        <v>0</v>
      </c>
      <c r="H204" s="64">
        <f t="shared" si="38"/>
        <v>0</v>
      </c>
    </row>
    <row r="205" spans="1:9" s="21" customFormat="1" hidden="1" x14ac:dyDescent="0.3">
      <c r="A205" s="21" t="e">
        <f>#REF!</f>
        <v>#REF!</v>
      </c>
      <c r="B205" s="87" t="s">
        <v>25</v>
      </c>
      <c r="C205" s="21" t="s">
        <v>11</v>
      </c>
      <c r="D205" s="64">
        <f t="shared" si="38"/>
        <v>0</v>
      </c>
      <c r="E205" s="64">
        <f t="shared" si="38"/>
        <v>0</v>
      </c>
      <c r="F205" s="64">
        <f t="shared" si="38"/>
        <v>0</v>
      </c>
      <c r="G205" s="64">
        <f t="shared" si="38"/>
        <v>0</v>
      </c>
      <c r="H205" s="64">
        <f t="shared" si="38"/>
        <v>0</v>
      </c>
    </row>
    <row r="206" spans="1:9" s="21" customFormat="1" hidden="1" x14ac:dyDescent="0.3">
      <c r="A206" s="21" t="e">
        <f>#REF!</f>
        <v>#REF!</v>
      </c>
      <c r="B206" s="87" t="s">
        <v>25</v>
      </c>
      <c r="C206" s="21" t="s">
        <v>11</v>
      </c>
      <c r="D206" s="64">
        <f t="shared" si="38"/>
        <v>0</v>
      </c>
      <c r="E206" s="64">
        <f t="shared" si="38"/>
        <v>0</v>
      </c>
      <c r="F206" s="64">
        <f t="shared" si="38"/>
        <v>0</v>
      </c>
      <c r="G206" s="64">
        <f t="shared" si="38"/>
        <v>0</v>
      </c>
      <c r="H206" s="64">
        <f t="shared" si="38"/>
        <v>0</v>
      </c>
    </row>
    <row r="207" spans="1:9" s="21" customFormat="1" hidden="1" x14ac:dyDescent="0.3">
      <c r="A207" s="21" t="e">
        <f>#REF!</f>
        <v>#REF!</v>
      </c>
      <c r="B207" s="87" t="s">
        <v>25</v>
      </c>
      <c r="C207" s="21" t="s">
        <v>11</v>
      </c>
      <c r="D207" s="64">
        <f t="shared" si="38"/>
        <v>0</v>
      </c>
      <c r="E207" s="64">
        <f t="shared" si="38"/>
        <v>0</v>
      </c>
      <c r="F207" s="64">
        <f t="shared" si="38"/>
        <v>0</v>
      </c>
      <c r="G207" s="64">
        <f t="shared" si="38"/>
        <v>0</v>
      </c>
      <c r="H207" s="64">
        <f t="shared" si="38"/>
        <v>0</v>
      </c>
    </row>
    <row r="208" spans="1:9" s="21" customFormat="1" hidden="1" x14ac:dyDescent="0.3">
      <c r="A208" s="24" t="str">
        <f>Dist4</f>
        <v>blank</v>
      </c>
      <c r="D208" s="25"/>
      <c r="E208" s="25"/>
      <c r="F208" s="25"/>
      <c r="G208" s="25"/>
      <c r="H208" s="25"/>
    </row>
    <row r="209" spans="1:9" s="21" customFormat="1" hidden="1" x14ac:dyDescent="0.3">
      <c r="A209" s="21" t="str">
        <f ca="1">'Calc (Jurisdiction)'!$B$2</f>
        <v>Calc (Jurisdiction)</v>
      </c>
      <c r="B209" s="87" t="s">
        <v>25</v>
      </c>
      <c r="C209" s="21" t="s">
        <v>11</v>
      </c>
      <c r="D209" s="64">
        <f t="shared" ref="D209:H213" si="39">IF(LEFT($A$189,5)="blank",0,IF(LEFT($A209,5)="blank",0,D$393+VLOOKUP($A209,dist4scheme2,COLUMN(D177),FALSE)))</f>
        <v>0</v>
      </c>
      <c r="E209" s="64">
        <f t="shared" si="39"/>
        <v>0</v>
      </c>
      <c r="F209" s="64">
        <f t="shared" si="39"/>
        <v>0</v>
      </c>
      <c r="G209" s="64">
        <f t="shared" si="39"/>
        <v>0</v>
      </c>
      <c r="H209" s="64">
        <f t="shared" si="39"/>
        <v>0</v>
      </c>
    </row>
    <row r="210" spans="1:9" s="21" customFormat="1" hidden="1" x14ac:dyDescent="0.3">
      <c r="A210" s="21" t="e">
        <f>#REF!</f>
        <v>#REF!</v>
      </c>
      <c r="B210" s="87" t="s">
        <v>25</v>
      </c>
      <c r="C210" s="21" t="s">
        <v>11</v>
      </c>
      <c r="D210" s="64">
        <f t="shared" si="39"/>
        <v>0</v>
      </c>
      <c r="E210" s="64">
        <f t="shared" si="39"/>
        <v>0</v>
      </c>
      <c r="F210" s="64">
        <f t="shared" si="39"/>
        <v>0</v>
      </c>
      <c r="G210" s="64">
        <f t="shared" si="39"/>
        <v>0</v>
      </c>
      <c r="H210" s="64">
        <f t="shared" si="39"/>
        <v>0</v>
      </c>
    </row>
    <row r="211" spans="1:9" s="21" customFormat="1" hidden="1" x14ac:dyDescent="0.3">
      <c r="A211" s="21" t="e">
        <f>#REF!</f>
        <v>#REF!</v>
      </c>
      <c r="B211" s="87" t="s">
        <v>25</v>
      </c>
      <c r="C211" s="21" t="s">
        <v>11</v>
      </c>
      <c r="D211" s="64">
        <f t="shared" si="39"/>
        <v>0</v>
      </c>
      <c r="E211" s="64">
        <f t="shared" si="39"/>
        <v>0</v>
      </c>
      <c r="F211" s="64">
        <f t="shared" si="39"/>
        <v>0</v>
      </c>
      <c r="G211" s="64">
        <f t="shared" si="39"/>
        <v>0</v>
      </c>
      <c r="H211" s="64">
        <f t="shared" si="39"/>
        <v>0</v>
      </c>
    </row>
    <row r="212" spans="1:9" s="21" customFormat="1" hidden="1" x14ac:dyDescent="0.3">
      <c r="A212" s="21" t="e">
        <f>#REF!</f>
        <v>#REF!</v>
      </c>
      <c r="B212" s="87" t="s">
        <v>25</v>
      </c>
      <c r="C212" s="21" t="s">
        <v>11</v>
      </c>
      <c r="D212" s="64">
        <f t="shared" si="39"/>
        <v>0</v>
      </c>
      <c r="E212" s="64">
        <f t="shared" si="39"/>
        <v>0</v>
      </c>
      <c r="F212" s="64">
        <f t="shared" si="39"/>
        <v>0</v>
      </c>
      <c r="G212" s="64">
        <f t="shared" si="39"/>
        <v>0</v>
      </c>
      <c r="H212" s="64">
        <f t="shared" si="39"/>
        <v>0</v>
      </c>
    </row>
    <row r="213" spans="1:9" s="21" customFormat="1" hidden="1" x14ac:dyDescent="0.3">
      <c r="A213" s="21" t="e">
        <f>#REF!</f>
        <v>#REF!</v>
      </c>
      <c r="B213" s="87" t="s">
        <v>25</v>
      </c>
      <c r="C213" s="21" t="s">
        <v>11</v>
      </c>
      <c r="D213" s="64">
        <f t="shared" si="39"/>
        <v>0</v>
      </c>
      <c r="E213" s="64">
        <f t="shared" si="39"/>
        <v>0</v>
      </c>
      <c r="F213" s="64">
        <f t="shared" si="39"/>
        <v>0</v>
      </c>
      <c r="G213" s="64">
        <f t="shared" si="39"/>
        <v>0</v>
      </c>
      <c r="H213" s="64">
        <f t="shared" si="39"/>
        <v>0</v>
      </c>
    </row>
    <row r="214" spans="1:9" s="21" customFormat="1" hidden="1" x14ac:dyDescent="0.3">
      <c r="A214" s="24" t="str">
        <f>Dist5</f>
        <v>blank</v>
      </c>
      <c r="D214" s="25"/>
      <c r="E214" s="25"/>
      <c r="F214" s="25"/>
      <c r="G214" s="25"/>
      <c r="H214" s="25"/>
    </row>
    <row r="215" spans="1:9" s="21" customFormat="1" hidden="1" x14ac:dyDescent="0.3">
      <c r="A215" s="21" t="str">
        <f ca="1">'Calc (Jurisdiction)'!$B$2</f>
        <v>Calc (Jurisdiction)</v>
      </c>
      <c r="B215" s="87" t="s">
        <v>25</v>
      </c>
      <c r="C215" s="21" t="s">
        <v>11</v>
      </c>
      <c r="D215" s="64">
        <f t="shared" ref="D215:H219" si="40">IF(LEFT($A$189,5)="blank",0,IF(LEFT($A215,5)="blank",0,D$404+VLOOKUP($A215,dist5scheme2,COLUMN(D183),FALSE)))</f>
        <v>0</v>
      </c>
      <c r="E215" s="64">
        <f t="shared" si="40"/>
        <v>0</v>
      </c>
      <c r="F215" s="64">
        <f t="shared" si="40"/>
        <v>0</v>
      </c>
      <c r="G215" s="64">
        <f t="shared" si="40"/>
        <v>0</v>
      </c>
      <c r="H215" s="64">
        <f t="shared" si="40"/>
        <v>0</v>
      </c>
    </row>
    <row r="216" spans="1:9" s="21" customFormat="1" hidden="1" x14ac:dyDescent="0.3">
      <c r="A216" s="21" t="e">
        <f>#REF!</f>
        <v>#REF!</v>
      </c>
      <c r="B216" s="87" t="s">
        <v>25</v>
      </c>
      <c r="C216" s="21" t="s">
        <v>11</v>
      </c>
      <c r="D216" s="64">
        <f t="shared" si="40"/>
        <v>0</v>
      </c>
      <c r="E216" s="64">
        <f t="shared" si="40"/>
        <v>0</v>
      </c>
      <c r="F216" s="64">
        <f t="shared" si="40"/>
        <v>0</v>
      </c>
      <c r="G216" s="64">
        <f t="shared" si="40"/>
        <v>0</v>
      </c>
      <c r="H216" s="64">
        <f t="shared" si="40"/>
        <v>0</v>
      </c>
    </row>
    <row r="217" spans="1:9" s="21" customFormat="1" hidden="1" x14ac:dyDescent="0.3">
      <c r="A217" s="21" t="e">
        <f>#REF!</f>
        <v>#REF!</v>
      </c>
      <c r="B217" s="87" t="s">
        <v>25</v>
      </c>
      <c r="C217" s="21" t="s">
        <v>11</v>
      </c>
      <c r="D217" s="64">
        <f t="shared" si="40"/>
        <v>0</v>
      </c>
      <c r="E217" s="64">
        <f t="shared" si="40"/>
        <v>0</v>
      </c>
      <c r="F217" s="64">
        <f t="shared" si="40"/>
        <v>0</v>
      </c>
      <c r="G217" s="64">
        <f t="shared" si="40"/>
        <v>0</v>
      </c>
      <c r="H217" s="64">
        <f t="shared" si="40"/>
        <v>0</v>
      </c>
    </row>
    <row r="218" spans="1:9" s="21" customFormat="1" hidden="1" x14ac:dyDescent="0.3">
      <c r="A218" s="21" t="e">
        <f>#REF!</f>
        <v>#REF!</v>
      </c>
      <c r="B218" s="87" t="s">
        <v>25</v>
      </c>
      <c r="C218" s="21" t="s">
        <v>11</v>
      </c>
      <c r="D218" s="64">
        <f t="shared" si="40"/>
        <v>0</v>
      </c>
      <c r="E218" s="64">
        <f t="shared" si="40"/>
        <v>0</v>
      </c>
      <c r="F218" s="64">
        <f t="shared" si="40"/>
        <v>0</v>
      </c>
      <c r="G218" s="64">
        <f t="shared" si="40"/>
        <v>0</v>
      </c>
      <c r="H218" s="64">
        <f t="shared" si="40"/>
        <v>0</v>
      </c>
    </row>
    <row r="219" spans="1:9" s="21" customFormat="1" hidden="1" x14ac:dyDescent="0.3">
      <c r="A219" s="21" t="e">
        <f>#REF!</f>
        <v>#REF!</v>
      </c>
      <c r="B219" s="87" t="s">
        <v>25</v>
      </c>
      <c r="C219" s="21" t="s">
        <v>11</v>
      </c>
      <c r="D219" s="64">
        <f t="shared" si="40"/>
        <v>0</v>
      </c>
      <c r="E219" s="64">
        <f t="shared" si="40"/>
        <v>0</v>
      </c>
      <c r="F219" s="64">
        <f t="shared" si="40"/>
        <v>0</v>
      </c>
      <c r="G219" s="64">
        <f t="shared" si="40"/>
        <v>0</v>
      </c>
      <c r="H219" s="64">
        <f t="shared" si="40"/>
        <v>0</v>
      </c>
    </row>
    <row r="220" spans="1:9" s="21" customFormat="1" x14ac:dyDescent="0.3">
      <c r="A220" s="8"/>
    </row>
    <row r="221" spans="1:9" s="21" customFormat="1" x14ac:dyDescent="0.3">
      <c r="A221" s="8" t="s">
        <v>79</v>
      </c>
    </row>
    <row r="222" spans="1:9" s="21" customFormat="1" x14ac:dyDescent="0.3">
      <c r="A222" s="24" t="str">
        <f>Dist1</f>
        <v>Northern Territory</v>
      </c>
      <c r="I222" s="30"/>
    </row>
    <row r="223" spans="1:9" s="21" customFormat="1" x14ac:dyDescent="0.3">
      <c r="A223" s="21" t="str">
        <f ca="1">'Calc (Jurisdiction)'!$B$2</f>
        <v>Calc (Jurisdiction)</v>
      </c>
      <c r="B223" s="87" t="s">
        <v>25</v>
      </c>
      <c r="C223" s="87" t="s">
        <v>128</v>
      </c>
      <c r="D223" s="66">
        <f ca="1">IF('Input Global'!$B$62="no",SUM(INDIRECT("'"&amp;$A223&amp;"'!D8:D11"),INDIRECT("'"&amp;$A223&amp;"'!D14:D19")),SUM(INDIRECT("'"&amp;$A223&amp;"'!D8"),SUM(INDIRECT("'"&amp;$A223&amp;"'!D11"),INDIRECT("'"&amp;$A223&amp;"'!D14:D19"))))</f>
        <v>0</v>
      </c>
      <c r="E223" s="66">
        <f ca="1">IF('Input Global'!$B$62="no",SUM(INDIRECT("'"&amp;$A223&amp;"'!E8:E11"),INDIRECT("'"&amp;$A223&amp;"'!E14:E19")),SUM(INDIRECT("'"&amp;$A223&amp;"'!E8"),SUM(INDIRECT("'"&amp;$A223&amp;"'!E11"),INDIRECT("'"&amp;$A223&amp;"'!E14:E19"))))</f>
        <v>192995.17134545452</v>
      </c>
      <c r="F223" s="66">
        <f ca="1">IF('Input Global'!$B$62="no",SUM(INDIRECT("'"&amp;$A223&amp;"'!F8:F11"),INDIRECT("'"&amp;$A223&amp;"'!F14:F19")),SUM(INDIRECT("'"&amp;$A223&amp;"'!F8"),SUM(INDIRECT("'"&amp;$A223&amp;"'!F11"),INDIRECT("'"&amp;$A223&amp;"'!F14:F19"))))</f>
        <v>211990.56021818181</v>
      </c>
      <c r="G223" s="66">
        <f ca="1">IF('Input Global'!$B$62="no",SUM(INDIRECT("'"&amp;$A223&amp;"'!G8:G11"),INDIRECT("'"&amp;$A223&amp;"'!G14:G19")),SUM(INDIRECT("'"&amp;$A223&amp;"'!G8"),SUM(INDIRECT("'"&amp;$A223&amp;"'!G11"),INDIRECT("'"&amp;$A223&amp;"'!G14:G19"))))</f>
        <v>275587.72828363633</v>
      </c>
      <c r="H223" s="66">
        <f ca="1">IF('Input Global'!$B$62="no",SUM(INDIRECT("'"&amp;$A223&amp;"'!H8:H11"),INDIRECT("'"&amp;$A223&amp;"'!H14:H19")),SUM(INDIRECT("'"&amp;$A223&amp;"'!H8"),SUM(INDIRECT("'"&amp;$A223&amp;"'!H11"),INDIRECT("'"&amp;$A223&amp;"'!H14:H19"))))</f>
        <v>283122.79822374537</v>
      </c>
      <c r="I223" s="31"/>
    </row>
    <row r="224" spans="1:9" s="21" customFormat="1" hidden="1" x14ac:dyDescent="0.3">
      <c r="A224" s="21" t="e">
        <f>#REF!</f>
        <v>#REF!</v>
      </c>
      <c r="B224" s="87" t="s">
        <v>25</v>
      </c>
      <c r="C224" s="87" t="s">
        <v>128</v>
      </c>
      <c r="D224" s="66" t="e">
        <f ca="1">IF('Input Global'!$B$62="no",SUM(INDIRECT("'"&amp;$A224&amp;"'!D8:D11"),INDIRECT("'"&amp;$A224&amp;"'!D14:D19")),SUM(INDIRECT("'"&amp;$A224&amp;"'!D8"),SUM(INDIRECT("'"&amp;$A224&amp;"'!D11"),INDIRECT("'"&amp;$A224&amp;"'!D14:D19"))))</f>
        <v>#REF!</v>
      </c>
      <c r="E224" s="66" t="e">
        <f ca="1">IF('Input Global'!$B$62="no",SUM(INDIRECT("'"&amp;$A224&amp;"'!E8:E11"),INDIRECT("'"&amp;$A224&amp;"'!E14:E19")),SUM(INDIRECT("'"&amp;$A224&amp;"'!E8"),SUM(INDIRECT("'"&amp;$A224&amp;"'!E11"),INDIRECT("'"&amp;$A224&amp;"'!E14:E19"))))</f>
        <v>#REF!</v>
      </c>
      <c r="F224" s="66" t="e">
        <f ca="1">IF('Input Global'!$B$62="no",SUM(INDIRECT("'"&amp;$A224&amp;"'!F8:F11"),INDIRECT("'"&amp;$A224&amp;"'!F14:F19")),SUM(INDIRECT("'"&amp;$A224&amp;"'!F8"),SUM(INDIRECT("'"&amp;$A224&amp;"'!F11"),INDIRECT("'"&amp;$A224&amp;"'!F14:F19"))))</f>
        <v>#REF!</v>
      </c>
      <c r="G224" s="66" t="e">
        <f ca="1">IF('Input Global'!$B$62="no",SUM(INDIRECT("'"&amp;$A224&amp;"'!G8:G11"),INDIRECT("'"&amp;$A224&amp;"'!G14:G19")),SUM(INDIRECT("'"&amp;$A224&amp;"'!G8"),SUM(INDIRECT("'"&amp;$A224&amp;"'!G11"),INDIRECT("'"&amp;$A224&amp;"'!G14:G19"))))</f>
        <v>#REF!</v>
      </c>
      <c r="H224" s="66" t="e">
        <f ca="1">IF('Input Global'!$B$62="no",SUM(INDIRECT("'"&amp;$A224&amp;"'!H8:H11"),INDIRECT("'"&amp;$A224&amp;"'!H14:H19")),SUM(INDIRECT("'"&amp;$A224&amp;"'!H8"),SUM(INDIRECT("'"&amp;$A224&amp;"'!H11"),INDIRECT("'"&amp;$A224&amp;"'!H14:H19"))))</f>
        <v>#REF!</v>
      </c>
      <c r="I224" s="27"/>
    </row>
    <row r="225" spans="1:10" s="21" customFormat="1" hidden="1" x14ac:dyDescent="0.3">
      <c r="A225" s="21" t="e">
        <f>#REF!</f>
        <v>#REF!</v>
      </c>
      <c r="B225" s="87" t="s">
        <v>25</v>
      </c>
      <c r="C225" s="87" t="s">
        <v>128</v>
      </c>
      <c r="D225" s="66" t="e">
        <f ca="1">IF('Input Global'!$B$62="no",SUM(INDIRECT("'"&amp;$A225&amp;"'!D8:D11"),INDIRECT("'"&amp;$A225&amp;"'!D14:D19")),SUM(INDIRECT("'"&amp;$A225&amp;"'!D8"),SUM(INDIRECT("'"&amp;$A225&amp;"'!D11"),INDIRECT("'"&amp;$A225&amp;"'!D14:D19"))))</f>
        <v>#REF!</v>
      </c>
      <c r="E225" s="66" t="e">
        <f ca="1">IF('Input Global'!$B$62="no",SUM(INDIRECT("'"&amp;$A225&amp;"'!E8:E11"),INDIRECT("'"&amp;$A225&amp;"'!E14:E19")),SUM(INDIRECT("'"&amp;$A225&amp;"'!E8"),SUM(INDIRECT("'"&amp;$A225&amp;"'!E11"),INDIRECT("'"&amp;$A225&amp;"'!E14:E19"))))</f>
        <v>#REF!</v>
      </c>
      <c r="F225" s="66" t="e">
        <f ca="1">IF('Input Global'!$B$62="no",SUM(INDIRECT("'"&amp;$A225&amp;"'!F8:F11"),INDIRECT("'"&amp;$A225&amp;"'!F14:F19")),SUM(INDIRECT("'"&amp;$A225&amp;"'!F8"),SUM(INDIRECT("'"&amp;$A225&amp;"'!F11"),INDIRECT("'"&amp;$A225&amp;"'!F14:F19"))))</f>
        <v>#REF!</v>
      </c>
      <c r="G225" s="66" t="e">
        <f ca="1">IF('Input Global'!$B$62="no",SUM(INDIRECT("'"&amp;$A225&amp;"'!G8:G11"),INDIRECT("'"&amp;$A225&amp;"'!G14:G19")),SUM(INDIRECT("'"&amp;$A225&amp;"'!G8"),SUM(INDIRECT("'"&amp;$A225&amp;"'!G11"),INDIRECT("'"&amp;$A225&amp;"'!G14:G19"))))</f>
        <v>#REF!</v>
      </c>
      <c r="H225" s="66" t="e">
        <f ca="1">IF('Input Global'!$B$62="no",SUM(INDIRECT("'"&amp;$A225&amp;"'!H8:H11"),INDIRECT("'"&amp;$A225&amp;"'!H14:H19")),SUM(INDIRECT("'"&amp;$A225&amp;"'!H8"),SUM(INDIRECT("'"&amp;$A225&amp;"'!H11"),INDIRECT("'"&amp;$A225&amp;"'!H14:H19"))))</f>
        <v>#REF!</v>
      </c>
      <c r="I225" s="27"/>
    </row>
    <row r="226" spans="1:10" s="21" customFormat="1" hidden="1" x14ac:dyDescent="0.3">
      <c r="A226" s="21" t="e">
        <f>#REF!</f>
        <v>#REF!</v>
      </c>
      <c r="B226" s="87" t="s">
        <v>25</v>
      </c>
      <c r="C226" s="87" t="s">
        <v>128</v>
      </c>
      <c r="D226" s="66" t="e">
        <f ca="1">IF('Input Global'!$B$62="no",SUM(INDIRECT("'"&amp;$A226&amp;"'!D8:D11"),INDIRECT("'"&amp;$A226&amp;"'!D14:D19")),SUM(INDIRECT("'"&amp;$A226&amp;"'!D8"),SUM(INDIRECT("'"&amp;$A226&amp;"'!D11"),INDIRECT("'"&amp;$A226&amp;"'!D14:D19"))))</f>
        <v>#REF!</v>
      </c>
      <c r="E226" s="66" t="e">
        <f ca="1">IF('Input Global'!$B$62="no",SUM(INDIRECT("'"&amp;$A226&amp;"'!E8:E11"),INDIRECT("'"&amp;$A226&amp;"'!E14:E19")),SUM(INDIRECT("'"&amp;$A226&amp;"'!E8"),SUM(INDIRECT("'"&amp;$A226&amp;"'!E11"),INDIRECT("'"&amp;$A226&amp;"'!E14:E19"))))</f>
        <v>#REF!</v>
      </c>
      <c r="F226" s="66" t="e">
        <f ca="1">IF('Input Global'!$B$62="no",SUM(INDIRECT("'"&amp;$A226&amp;"'!F8:F11"),INDIRECT("'"&amp;$A226&amp;"'!F14:F19")),SUM(INDIRECT("'"&amp;$A226&amp;"'!F8"),SUM(INDIRECT("'"&amp;$A226&amp;"'!F11"),INDIRECT("'"&amp;$A226&amp;"'!F14:F19"))))</f>
        <v>#REF!</v>
      </c>
      <c r="G226" s="66" t="e">
        <f ca="1">IF('Input Global'!$B$62="no",SUM(INDIRECT("'"&amp;$A226&amp;"'!G8:G11"),INDIRECT("'"&amp;$A226&amp;"'!G14:G19")),SUM(INDIRECT("'"&amp;$A226&amp;"'!G8"),SUM(INDIRECT("'"&amp;$A226&amp;"'!G11"),INDIRECT("'"&amp;$A226&amp;"'!G14:G19"))))</f>
        <v>#REF!</v>
      </c>
      <c r="H226" s="66" t="e">
        <f ca="1">IF('Input Global'!$B$62="no",SUM(INDIRECT("'"&amp;$A226&amp;"'!H8:H11"),INDIRECT("'"&amp;$A226&amp;"'!H14:H19")),SUM(INDIRECT("'"&amp;$A226&amp;"'!H8"),SUM(INDIRECT("'"&amp;$A226&amp;"'!H11"),INDIRECT("'"&amp;$A226&amp;"'!H14:H19"))))</f>
        <v>#REF!</v>
      </c>
      <c r="I226" s="27"/>
    </row>
    <row r="227" spans="1:10" s="21" customFormat="1" hidden="1" x14ac:dyDescent="0.3">
      <c r="A227" s="21" t="e">
        <f>#REF!</f>
        <v>#REF!</v>
      </c>
      <c r="B227" s="87" t="s">
        <v>25</v>
      </c>
      <c r="C227" s="87" t="s">
        <v>128</v>
      </c>
      <c r="D227" s="66" t="e">
        <f ca="1">IF('Input Global'!$B$62="no",SUM(INDIRECT("'"&amp;$A227&amp;"'!D8:D11"),INDIRECT("'"&amp;$A227&amp;"'!D14:D19")),SUM(INDIRECT("'"&amp;$A227&amp;"'!D8"),SUM(INDIRECT("'"&amp;$A227&amp;"'!D11"),INDIRECT("'"&amp;$A227&amp;"'!D14:D19"))))</f>
        <v>#REF!</v>
      </c>
      <c r="E227" s="66" t="e">
        <f ca="1">IF('Input Global'!$B$62="no",SUM(INDIRECT("'"&amp;$A227&amp;"'!E8:E11"),INDIRECT("'"&amp;$A227&amp;"'!E14:E19")),SUM(INDIRECT("'"&amp;$A227&amp;"'!E8"),SUM(INDIRECT("'"&amp;$A227&amp;"'!E11"),INDIRECT("'"&amp;$A227&amp;"'!E14:E19"))))</f>
        <v>#REF!</v>
      </c>
      <c r="F227" s="66" t="e">
        <f ca="1">IF('Input Global'!$B$62="no",SUM(INDIRECT("'"&amp;$A227&amp;"'!F8:F11"),INDIRECT("'"&amp;$A227&amp;"'!F14:F19")),SUM(INDIRECT("'"&amp;$A227&amp;"'!F8"),SUM(INDIRECT("'"&amp;$A227&amp;"'!F11"),INDIRECT("'"&amp;$A227&amp;"'!F14:F19"))))</f>
        <v>#REF!</v>
      </c>
      <c r="G227" s="66" t="e">
        <f ca="1">IF('Input Global'!$B$62="no",SUM(INDIRECT("'"&amp;$A227&amp;"'!G8:G11"),INDIRECT("'"&amp;$A227&amp;"'!G14:G19")),SUM(INDIRECT("'"&amp;$A227&amp;"'!G8"),SUM(INDIRECT("'"&amp;$A227&amp;"'!G11"),INDIRECT("'"&amp;$A227&amp;"'!G14:G19"))))</f>
        <v>#REF!</v>
      </c>
      <c r="H227" s="66" t="e">
        <f ca="1">IF('Input Global'!$B$62="no",SUM(INDIRECT("'"&amp;$A227&amp;"'!H8:H11"),INDIRECT("'"&amp;$A227&amp;"'!H14:H19")),SUM(INDIRECT("'"&amp;$A227&amp;"'!H8"),SUM(INDIRECT("'"&amp;$A227&amp;"'!H11"),INDIRECT("'"&amp;$A227&amp;"'!H14:H19"))))</f>
        <v>#REF!</v>
      </c>
      <c r="I227" s="27"/>
    </row>
    <row r="228" spans="1:10" s="21" customFormat="1" hidden="1" x14ac:dyDescent="0.3">
      <c r="A228" s="24" t="str">
        <f>Dist2</f>
        <v>blank</v>
      </c>
      <c r="D228" s="59"/>
      <c r="E228" s="59"/>
      <c r="F228" s="59"/>
      <c r="G228" s="59"/>
      <c r="H228" s="59"/>
      <c r="I228" s="29"/>
    </row>
    <row r="229" spans="1:10" s="21" customFormat="1" hidden="1" x14ac:dyDescent="0.3">
      <c r="A229" s="21" t="str">
        <f ca="1">'Calc (Jurisdiction)'!$B$2</f>
        <v>Calc (Jurisdiction)</v>
      </c>
      <c r="B229" s="87" t="s">
        <v>25</v>
      </c>
      <c r="C229" s="87" t="s">
        <v>128</v>
      </c>
      <c r="D229" s="66">
        <f ca="1">IF('Input Global'!$B$62="no",SUM(INDIRECT("'"&amp;$A229&amp;"'!D23:D26"),INDIRECT("'"&amp;$A229&amp;"'!D29:D34")),SUM(INDIRECT("'"&amp;$A229&amp;"'!D23"),SUM(INDIRECT("'"&amp;$A229&amp;"'!D26"),INDIRECT("'"&amp;$A229&amp;"'!D29:D34"))))</f>
        <v>0</v>
      </c>
      <c r="E229" s="66">
        <f ca="1">IF('Input Global'!$B$62="no",SUM(INDIRECT("'"&amp;$A229&amp;"'!E23:E26"),INDIRECT("'"&amp;$A229&amp;"'!E29:E34")),SUM(INDIRECT("'"&amp;$A229&amp;"'!E23"),SUM(INDIRECT("'"&amp;$A229&amp;"'!E26"),INDIRECT("'"&amp;$A229&amp;"'!E29:E34"))))</f>
        <v>0</v>
      </c>
      <c r="F229" s="66">
        <f ca="1">IF('Input Global'!$B$62="no",SUM(INDIRECT("'"&amp;$A229&amp;"'!F23:F26"),INDIRECT("'"&amp;$A229&amp;"'!F29:F34")),SUM(INDIRECT("'"&amp;$A229&amp;"'!F23"),SUM(INDIRECT("'"&amp;$A229&amp;"'!F26"),INDIRECT("'"&amp;$A229&amp;"'!F29:F34"))))</f>
        <v>0</v>
      </c>
      <c r="G229" s="66">
        <f ca="1">IF('Input Global'!$B$62="no",SUM(INDIRECT("'"&amp;$A229&amp;"'!G23:G26"),INDIRECT("'"&amp;$A229&amp;"'!G29:G34")),SUM(INDIRECT("'"&amp;$A229&amp;"'!G23"),SUM(INDIRECT("'"&amp;$A229&amp;"'!G26"),INDIRECT("'"&amp;$A229&amp;"'!G29:G34"))))</f>
        <v>0</v>
      </c>
      <c r="H229" s="66">
        <f ca="1">IF('Input Global'!$B$62="no",SUM(INDIRECT("'"&amp;$A229&amp;"'!H23:H26"),INDIRECT("'"&amp;$A229&amp;"'!H29:H34")),SUM(INDIRECT("'"&amp;$A229&amp;"'!H23"),SUM(INDIRECT("'"&amp;$A229&amp;"'!H26"),INDIRECT("'"&amp;$A229&amp;"'!H29:H34"))))</f>
        <v>0</v>
      </c>
      <c r="I229" s="29" t="s">
        <v>94</v>
      </c>
      <c r="J229" s="21" t="s">
        <v>94</v>
      </c>
    </row>
    <row r="230" spans="1:10" s="21" customFormat="1" hidden="1" x14ac:dyDescent="0.3">
      <c r="A230" s="21" t="e">
        <f>#REF!</f>
        <v>#REF!</v>
      </c>
      <c r="B230" s="87" t="s">
        <v>25</v>
      </c>
      <c r="C230" s="87" t="s">
        <v>128</v>
      </c>
      <c r="D230" s="66" t="e">
        <f ca="1">IF('Input Global'!$B$62="no",SUM(INDIRECT("'"&amp;$A230&amp;"'!D23:D26"),INDIRECT("'"&amp;$A230&amp;"'!D29:D34")),SUM(INDIRECT("'"&amp;$A230&amp;"'!D23"),SUM(INDIRECT("'"&amp;$A230&amp;"'!D26"),INDIRECT("'"&amp;$A230&amp;"'!D29:D34"))))</f>
        <v>#REF!</v>
      </c>
      <c r="E230" s="66" t="e">
        <f ca="1">IF('Input Global'!$B$62="no",SUM(INDIRECT("'"&amp;$A230&amp;"'!E23:E26"),INDIRECT("'"&amp;$A230&amp;"'!E29:E34")),SUM(INDIRECT("'"&amp;$A230&amp;"'!E23"),SUM(INDIRECT("'"&amp;$A230&amp;"'!E26"),INDIRECT("'"&amp;$A230&amp;"'!E29:E34"))))</f>
        <v>#REF!</v>
      </c>
      <c r="F230" s="66" t="e">
        <f ca="1">IF('Input Global'!$B$62="no",SUM(INDIRECT("'"&amp;$A230&amp;"'!F23:F26"),INDIRECT("'"&amp;$A230&amp;"'!F29:F34")),SUM(INDIRECT("'"&amp;$A230&amp;"'!F23"),SUM(INDIRECT("'"&amp;$A230&amp;"'!F26"),INDIRECT("'"&amp;$A230&amp;"'!F29:F34"))))</f>
        <v>#REF!</v>
      </c>
      <c r="G230" s="66" t="e">
        <f ca="1">IF('Input Global'!$B$62="no",SUM(INDIRECT("'"&amp;$A230&amp;"'!G23:G26"),INDIRECT("'"&amp;$A230&amp;"'!G29:G34")),SUM(INDIRECT("'"&amp;$A230&amp;"'!G23"),SUM(INDIRECT("'"&amp;$A230&amp;"'!G26"),INDIRECT("'"&amp;$A230&amp;"'!G29:G34"))))</f>
        <v>#REF!</v>
      </c>
      <c r="H230" s="66" t="e">
        <f ca="1">IF('Input Global'!$B$62="no",SUM(INDIRECT("'"&amp;$A230&amp;"'!H23:H26"),INDIRECT("'"&amp;$A230&amp;"'!H29:H34")),SUM(INDIRECT("'"&amp;$A230&amp;"'!H23"),SUM(INDIRECT("'"&amp;$A230&amp;"'!H26"),INDIRECT("'"&amp;$A230&amp;"'!H29:H34"))))</f>
        <v>#REF!</v>
      </c>
      <c r="I230" s="29"/>
    </row>
    <row r="231" spans="1:10" s="21" customFormat="1" hidden="1" x14ac:dyDescent="0.3">
      <c r="A231" s="21" t="e">
        <f>#REF!</f>
        <v>#REF!</v>
      </c>
      <c r="B231" s="87" t="s">
        <v>25</v>
      </c>
      <c r="C231" s="87" t="s">
        <v>128</v>
      </c>
      <c r="D231" s="66" t="e">
        <f ca="1">IF('Input Global'!$B$62="no",SUM(INDIRECT("'"&amp;$A231&amp;"'!D23:D26"),INDIRECT("'"&amp;$A231&amp;"'!D29:D34")),SUM(INDIRECT("'"&amp;$A231&amp;"'!D23"),SUM(INDIRECT("'"&amp;$A231&amp;"'!D26"),INDIRECT("'"&amp;$A231&amp;"'!D29:D34"))))</f>
        <v>#REF!</v>
      </c>
      <c r="E231" s="66" t="e">
        <f ca="1">IF('Input Global'!$B$62="no",SUM(INDIRECT("'"&amp;$A231&amp;"'!E23:E26"),INDIRECT("'"&amp;$A231&amp;"'!E29:E34")),SUM(INDIRECT("'"&amp;$A231&amp;"'!E23"),SUM(INDIRECT("'"&amp;$A231&amp;"'!E26"),INDIRECT("'"&amp;$A231&amp;"'!E29:E34"))))</f>
        <v>#REF!</v>
      </c>
      <c r="F231" s="66" t="e">
        <f ca="1">IF('Input Global'!$B$62="no",SUM(INDIRECT("'"&amp;$A231&amp;"'!F23:F26"),INDIRECT("'"&amp;$A231&amp;"'!F29:F34")),SUM(INDIRECT("'"&amp;$A231&amp;"'!F23"),SUM(INDIRECT("'"&amp;$A231&amp;"'!F26"),INDIRECT("'"&amp;$A231&amp;"'!F29:F34"))))</f>
        <v>#REF!</v>
      </c>
      <c r="G231" s="66" t="e">
        <f ca="1">IF('Input Global'!$B$62="no",SUM(INDIRECT("'"&amp;$A231&amp;"'!G23:G26"),INDIRECT("'"&amp;$A231&amp;"'!G29:G34")),SUM(INDIRECT("'"&amp;$A231&amp;"'!G23"),SUM(INDIRECT("'"&amp;$A231&amp;"'!G26"),INDIRECT("'"&amp;$A231&amp;"'!G29:G34"))))</f>
        <v>#REF!</v>
      </c>
      <c r="H231" s="66" t="e">
        <f ca="1">IF('Input Global'!$B$62="no",SUM(INDIRECT("'"&amp;$A231&amp;"'!H23:H26"),INDIRECT("'"&amp;$A231&amp;"'!H29:H34")),SUM(INDIRECT("'"&amp;$A231&amp;"'!H23"),SUM(INDIRECT("'"&amp;$A231&amp;"'!H26"),INDIRECT("'"&amp;$A231&amp;"'!H29:H34"))))</f>
        <v>#REF!</v>
      </c>
      <c r="I231" s="29"/>
    </row>
    <row r="232" spans="1:10" s="21" customFormat="1" hidden="1" x14ac:dyDescent="0.3">
      <c r="A232" s="21" t="e">
        <f>#REF!</f>
        <v>#REF!</v>
      </c>
      <c r="B232" s="87" t="s">
        <v>25</v>
      </c>
      <c r="C232" s="87" t="s">
        <v>128</v>
      </c>
      <c r="D232" s="66" t="e">
        <f ca="1">IF('Input Global'!$B$62="no",SUM(INDIRECT("'"&amp;$A232&amp;"'!D23:D26"),INDIRECT("'"&amp;$A232&amp;"'!D29:D34")),SUM(INDIRECT("'"&amp;$A232&amp;"'!D23"),SUM(INDIRECT("'"&amp;$A232&amp;"'!D26"),INDIRECT("'"&amp;$A232&amp;"'!D29:D34"))))</f>
        <v>#REF!</v>
      </c>
      <c r="E232" s="66" t="e">
        <f ca="1">IF('Input Global'!$B$62="no",SUM(INDIRECT("'"&amp;$A232&amp;"'!E23:E26"),INDIRECT("'"&amp;$A232&amp;"'!E29:E34")),SUM(INDIRECT("'"&amp;$A232&amp;"'!E23"),SUM(INDIRECT("'"&amp;$A232&amp;"'!E26"),INDIRECT("'"&amp;$A232&amp;"'!E29:E34"))))</f>
        <v>#REF!</v>
      </c>
      <c r="F232" s="66" t="e">
        <f ca="1">IF('Input Global'!$B$62="no",SUM(INDIRECT("'"&amp;$A232&amp;"'!F23:F26"),INDIRECT("'"&amp;$A232&amp;"'!F29:F34")),SUM(INDIRECT("'"&amp;$A232&amp;"'!F23"),SUM(INDIRECT("'"&amp;$A232&amp;"'!F26"),INDIRECT("'"&amp;$A232&amp;"'!F29:F34"))))</f>
        <v>#REF!</v>
      </c>
      <c r="G232" s="66" t="e">
        <f ca="1">IF('Input Global'!$B$62="no",SUM(INDIRECT("'"&amp;$A232&amp;"'!G23:G26"),INDIRECT("'"&amp;$A232&amp;"'!G29:G34")),SUM(INDIRECT("'"&amp;$A232&amp;"'!G23"),SUM(INDIRECT("'"&amp;$A232&amp;"'!G26"),INDIRECT("'"&amp;$A232&amp;"'!G29:G34"))))</f>
        <v>#REF!</v>
      </c>
      <c r="H232" s="66" t="e">
        <f ca="1">IF('Input Global'!$B$62="no",SUM(INDIRECT("'"&amp;$A232&amp;"'!H23:H26"),INDIRECT("'"&amp;$A232&amp;"'!H29:H34")),SUM(INDIRECT("'"&amp;$A232&amp;"'!H23"),SUM(INDIRECT("'"&amp;$A232&amp;"'!H26"),INDIRECT("'"&amp;$A232&amp;"'!H29:H34"))))</f>
        <v>#REF!</v>
      </c>
      <c r="I232" s="29"/>
    </row>
    <row r="233" spans="1:10" s="21" customFormat="1" hidden="1" x14ac:dyDescent="0.3">
      <c r="A233" s="21" t="e">
        <f>#REF!</f>
        <v>#REF!</v>
      </c>
      <c r="B233" s="87" t="s">
        <v>25</v>
      </c>
      <c r="C233" s="87" t="s">
        <v>128</v>
      </c>
      <c r="D233" s="66" t="e">
        <f ca="1">IF('Input Global'!$B$62="no",SUM(INDIRECT("'"&amp;$A233&amp;"'!D23:D26"),INDIRECT("'"&amp;$A233&amp;"'!D29:D34")),SUM(INDIRECT("'"&amp;$A233&amp;"'!D23"),SUM(INDIRECT("'"&amp;$A233&amp;"'!D26"),INDIRECT("'"&amp;$A233&amp;"'!D29:D34"))))</f>
        <v>#REF!</v>
      </c>
      <c r="E233" s="66" t="e">
        <f ca="1">IF('Input Global'!$B$62="no",SUM(INDIRECT("'"&amp;$A233&amp;"'!E23:E26"),INDIRECT("'"&amp;$A233&amp;"'!E29:E34")),SUM(INDIRECT("'"&amp;$A233&amp;"'!E23"),SUM(INDIRECT("'"&amp;$A233&amp;"'!E26"),INDIRECT("'"&amp;$A233&amp;"'!E29:E34"))))</f>
        <v>#REF!</v>
      </c>
      <c r="F233" s="66" t="e">
        <f ca="1">IF('Input Global'!$B$62="no",SUM(INDIRECT("'"&amp;$A233&amp;"'!F23:F26"),INDIRECT("'"&amp;$A233&amp;"'!F29:F34")),SUM(INDIRECT("'"&amp;$A233&amp;"'!F23"),SUM(INDIRECT("'"&amp;$A233&amp;"'!F26"),INDIRECT("'"&amp;$A233&amp;"'!F29:F34"))))</f>
        <v>#REF!</v>
      </c>
      <c r="G233" s="66" t="e">
        <f ca="1">IF('Input Global'!$B$62="no",SUM(INDIRECT("'"&amp;$A233&amp;"'!G23:G26"),INDIRECT("'"&amp;$A233&amp;"'!G29:G34")),SUM(INDIRECT("'"&amp;$A233&amp;"'!G23"),SUM(INDIRECT("'"&amp;$A233&amp;"'!G26"),INDIRECT("'"&amp;$A233&amp;"'!G29:G34"))))</f>
        <v>#REF!</v>
      </c>
      <c r="H233" s="66" t="e">
        <f ca="1">IF('Input Global'!$B$62="no",SUM(INDIRECT("'"&amp;$A233&amp;"'!H23:H26"),INDIRECT("'"&amp;$A233&amp;"'!H29:H34")),SUM(INDIRECT("'"&amp;$A233&amp;"'!H23"),SUM(INDIRECT("'"&amp;$A233&amp;"'!H26"),INDIRECT("'"&amp;$A233&amp;"'!H29:H34"))))</f>
        <v>#REF!</v>
      </c>
    </row>
    <row r="234" spans="1:10" s="21" customFormat="1" hidden="1" x14ac:dyDescent="0.3">
      <c r="A234" s="24" t="str">
        <f>Dist3</f>
        <v>blank</v>
      </c>
      <c r="D234" s="60"/>
      <c r="E234" s="60"/>
      <c r="F234" s="60"/>
      <c r="G234" s="60"/>
      <c r="H234" s="60"/>
    </row>
    <row r="235" spans="1:10" s="21" customFormat="1" hidden="1" x14ac:dyDescent="0.3">
      <c r="A235" s="21" t="str">
        <f ca="1">'Calc (Jurisdiction)'!$B$2</f>
        <v>Calc (Jurisdiction)</v>
      </c>
      <c r="B235" s="87" t="s">
        <v>25</v>
      </c>
      <c r="C235" s="87" t="s">
        <v>128</v>
      </c>
      <c r="D235" s="66">
        <f ca="1">IF('Input Global'!$B$62="no",SUM(INDIRECT("'"&amp;$A235&amp;"'!D38:D41"),INDIRECT("'"&amp;$A235&amp;"'!D44:D49")),SUM(INDIRECT("'"&amp;$A235&amp;"'!D38"),SUM(INDIRECT("'"&amp;$A235&amp;"'!D41"),INDIRECT("'"&amp;$A235&amp;"'!D44:D49"))))</f>
        <v>0</v>
      </c>
      <c r="E235" s="66">
        <f ca="1">IF('Input Global'!$B$62="no",SUM(INDIRECT("'"&amp;$A235&amp;"'!E38:E41"),INDIRECT("'"&amp;$A235&amp;"'!E44:E49")),SUM(INDIRECT("'"&amp;$A235&amp;"'!E38"),SUM(INDIRECT("'"&amp;$A235&amp;"'!E41"),INDIRECT("'"&amp;$A235&amp;"'!E44:E49"))))</f>
        <v>0</v>
      </c>
      <c r="F235" s="66">
        <f ca="1">IF('Input Global'!$B$62="no",SUM(INDIRECT("'"&amp;$A235&amp;"'!F38:F41"),INDIRECT("'"&amp;$A235&amp;"'!F44:F49")),SUM(INDIRECT("'"&amp;$A235&amp;"'!F38"),SUM(INDIRECT("'"&amp;$A235&amp;"'!F41"),INDIRECT("'"&amp;$A235&amp;"'!F44:F49"))))</f>
        <v>0</v>
      </c>
      <c r="G235" s="66">
        <f ca="1">IF('Input Global'!$B$62="no",SUM(INDIRECT("'"&amp;$A235&amp;"'!G38:G41"),INDIRECT("'"&amp;$A235&amp;"'!G44:G49")),SUM(INDIRECT("'"&amp;$A235&amp;"'!G38"),SUM(INDIRECT("'"&amp;$A235&amp;"'!G41"),INDIRECT("'"&amp;$A235&amp;"'!G44:G49"))))</f>
        <v>0</v>
      </c>
      <c r="H235" s="66">
        <f ca="1">IF('Input Global'!$B$62="no",SUM(INDIRECT("'"&amp;$A235&amp;"'!H38:H41"),INDIRECT("'"&amp;$A235&amp;"'!H44:H49")),SUM(INDIRECT("'"&amp;$A235&amp;"'!H38"),SUM(INDIRECT("'"&amp;$A235&amp;"'!H41"),INDIRECT("'"&amp;$A235&amp;"'!H44:H49"))))</f>
        <v>0</v>
      </c>
    </row>
    <row r="236" spans="1:10" s="21" customFormat="1" hidden="1" x14ac:dyDescent="0.3">
      <c r="A236" s="21" t="e">
        <f>#REF!</f>
        <v>#REF!</v>
      </c>
      <c r="B236" s="87" t="s">
        <v>25</v>
      </c>
      <c r="C236" s="87" t="s">
        <v>128</v>
      </c>
      <c r="D236" s="66" t="e">
        <f ca="1">IF('Input Global'!$B$62="no",SUM(INDIRECT("'"&amp;$A236&amp;"'!D38:D41"),INDIRECT("'"&amp;$A236&amp;"'!D44:D49")),SUM(INDIRECT("'"&amp;$A236&amp;"'!D38"),SUM(INDIRECT("'"&amp;$A236&amp;"'!D41"),INDIRECT("'"&amp;$A236&amp;"'!D44:D49"))))</f>
        <v>#REF!</v>
      </c>
      <c r="E236" s="66" t="e">
        <f ca="1">IF('Input Global'!$B$62="no",SUM(INDIRECT("'"&amp;$A236&amp;"'!E38:E41"),INDIRECT("'"&amp;$A236&amp;"'!E44:E49")),SUM(INDIRECT("'"&amp;$A236&amp;"'!E38"),SUM(INDIRECT("'"&amp;$A236&amp;"'!E41"),INDIRECT("'"&amp;$A236&amp;"'!E44:E49"))))</f>
        <v>#REF!</v>
      </c>
      <c r="F236" s="66" t="e">
        <f ca="1">IF('Input Global'!$B$62="no",SUM(INDIRECT("'"&amp;$A236&amp;"'!F38:F41"),INDIRECT("'"&amp;$A236&amp;"'!F44:F49")),SUM(INDIRECT("'"&amp;$A236&amp;"'!F38"),SUM(INDIRECT("'"&amp;$A236&amp;"'!F41"),INDIRECT("'"&amp;$A236&amp;"'!F44:F49"))))</f>
        <v>#REF!</v>
      </c>
      <c r="G236" s="66" t="e">
        <f ca="1">IF('Input Global'!$B$62="no",SUM(INDIRECT("'"&amp;$A236&amp;"'!G38:G41"),INDIRECT("'"&amp;$A236&amp;"'!G44:G49")),SUM(INDIRECT("'"&amp;$A236&amp;"'!G38"),SUM(INDIRECT("'"&amp;$A236&amp;"'!G41"),INDIRECT("'"&amp;$A236&amp;"'!G44:G49"))))</f>
        <v>#REF!</v>
      </c>
      <c r="H236" s="66" t="e">
        <f ca="1">IF('Input Global'!$B$62="no",SUM(INDIRECT("'"&amp;$A236&amp;"'!H38:H41"),INDIRECT("'"&amp;$A236&amp;"'!H44:H49")),SUM(INDIRECT("'"&amp;$A236&amp;"'!H38"),SUM(INDIRECT("'"&amp;$A236&amp;"'!H41"),INDIRECT("'"&amp;$A236&amp;"'!H44:H49"))))</f>
        <v>#REF!</v>
      </c>
    </row>
    <row r="237" spans="1:10" s="21" customFormat="1" hidden="1" x14ac:dyDescent="0.3">
      <c r="A237" s="21" t="e">
        <f>#REF!</f>
        <v>#REF!</v>
      </c>
      <c r="B237" s="87" t="s">
        <v>25</v>
      </c>
      <c r="C237" s="87" t="s">
        <v>128</v>
      </c>
      <c r="D237" s="66" t="e">
        <f ca="1">IF('Input Global'!$B$62="no",SUM(INDIRECT("'"&amp;$A237&amp;"'!D38:D41"),INDIRECT("'"&amp;$A237&amp;"'!D44:D49")),SUM(INDIRECT("'"&amp;$A237&amp;"'!D38"),SUM(INDIRECT("'"&amp;$A237&amp;"'!D41"),INDIRECT("'"&amp;$A237&amp;"'!D44:D49"))))</f>
        <v>#REF!</v>
      </c>
      <c r="E237" s="66" t="e">
        <f ca="1">IF('Input Global'!$B$62="no",SUM(INDIRECT("'"&amp;$A237&amp;"'!E38:E41"),INDIRECT("'"&amp;$A237&amp;"'!E44:E49")),SUM(INDIRECT("'"&amp;$A237&amp;"'!E38"),SUM(INDIRECT("'"&amp;$A237&amp;"'!E41"),INDIRECT("'"&amp;$A237&amp;"'!E44:E49"))))</f>
        <v>#REF!</v>
      </c>
      <c r="F237" s="66" t="e">
        <f ca="1">IF('Input Global'!$B$62="no",SUM(INDIRECT("'"&amp;$A237&amp;"'!F38:F41"),INDIRECT("'"&amp;$A237&amp;"'!F44:F49")),SUM(INDIRECT("'"&amp;$A237&amp;"'!F38"),SUM(INDIRECT("'"&amp;$A237&amp;"'!F41"),INDIRECT("'"&amp;$A237&amp;"'!F44:F49"))))</f>
        <v>#REF!</v>
      </c>
      <c r="G237" s="66" t="e">
        <f ca="1">IF('Input Global'!$B$62="no",SUM(INDIRECT("'"&amp;$A237&amp;"'!G38:G41"),INDIRECT("'"&amp;$A237&amp;"'!G44:G49")),SUM(INDIRECT("'"&amp;$A237&amp;"'!G38"),SUM(INDIRECT("'"&amp;$A237&amp;"'!G41"),INDIRECT("'"&amp;$A237&amp;"'!G44:G49"))))</f>
        <v>#REF!</v>
      </c>
      <c r="H237" s="66" t="e">
        <f ca="1">IF('Input Global'!$B$62="no",SUM(INDIRECT("'"&amp;$A237&amp;"'!H38:H41"),INDIRECT("'"&amp;$A237&amp;"'!H44:H49")),SUM(INDIRECT("'"&amp;$A237&amp;"'!H38"),SUM(INDIRECT("'"&amp;$A237&amp;"'!H41"),INDIRECT("'"&amp;$A237&amp;"'!H44:H49"))))</f>
        <v>#REF!</v>
      </c>
    </row>
    <row r="238" spans="1:10" s="21" customFormat="1" hidden="1" x14ac:dyDescent="0.3">
      <c r="A238" s="21" t="e">
        <f>#REF!</f>
        <v>#REF!</v>
      </c>
      <c r="B238" s="87" t="s">
        <v>25</v>
      </c>
      <c r="C238" s="87" t="s">
        <v>128</v>
      </c>
      <c r="D238" s="66" t="e">
        <f ca="1">IF('Input Global'!$B$62="no",SUM(INDIRECT("'"&amp;$A238&amp;"'!D38:D41"),INDIRECT("'"&amp;$A238&amp;"'!D44:D49")),SUM(INDIRECT("'"&amp;$A238&amp;"'!D38"),SUM(INDIRECT("'"&amp;$A238&amp;"'!D41"),INDIRECT("'"&amp;$A238&amp;"'!D44:D49"))))</f>
        <v>#REF!</v>
      </c>
      <c r="E238" s="66" t="e">
        <f ca="1">IF('Input Global'!$B$62="no",SUM(INDIRECT("'"&amp;$A238&amp;"'!E38:E41"),INDIRECT("'"&amp;$A238&amp;"'!E44:E49")),SUM(INDIRECT("'"&amp;$A238&amp;"'!E38"),SUM(INDIRECT("'"&amp;$A238&amp;"'!E41"),INDIRECT("'"&amp;$A238&amp;"'!E44:E49"))))</f>
        <v>#REF!</v>
      </c>
      <c r="F238" s="66" t="e">
        <f ca="1">IF('Input Global'!$B$62="no",SUM(INDIRECT("'"&amp;$A238&amp;"'!F38:F41"),INDIRECT("'"&amp;$A238&amp;"'!F44:F49")),SUM(INDIRECT("'"&amp;$A238&amp;"'!F38"),SUM(INDIRECT("'"&amp;$A238&amp;"'!F41"),INDIRECT("'"&amp;$A238&amp;"'!F44:F49"))))</f>
        <v>#REF!</v>
      </c>
      <c r="G238" s="66" t="e">
        <f ca="1">IF('Input Global'!$B$62="no",SUM(INDIRECT("'"&amp;$A238&amp;"'!G38:G41"),INDIRECT("'"&amp;$A238&amp;"'!G44:G49")),SUM(INDIRECT("'"&amp;$A238&amp;"'!G38"),SUM(INDIRECT("'"&amp;$A238&amp;"'!G41"),INDIRECT("'"&amp;$A238&amp;"'!G44:G49"))))</f>
        <v>#REF!</v>
      </c>
      <c r="H238" s="66" t="e">
        <f ca="1">IF('Input Global'!$B$62="no",SUM(INDIRECT("'"&amp;$A238&amp;"'!H38:H41"),INDIRECT("'"&amp;$A238&amp;"'!H44:H49")),SUM(INDIRECT("'"&amp;$A238&amp;"'!H38"),SUM(INDIRECT("'"&amp;$A238&amp;"'!H41"),INDIRECT("'"&amp;$A238&amp;"'!H44:H49"))))</f>
        <v>#REF!</v>
      </c>
    </row>
    <row r="239" spans="1:10" s="21" customFormat="1" hidden="1" x14ac:dyDescent="0.3">
      <c r="A239" s="21" t="e">
        <f>#REF!</f>
        <v>#REF!</v>
      </c>
      <c r="B239" s="87" t="s">
        <v>25</v>
      </c>
      <c r="C239" s="87" t="s">
        <v>128</v>
      </c>
      <c r="D239" s="66" t="e">
        <f ca="1">IF('Input Global'!$B$62="no",SUM(INDIRECT("'"&amp;$A239&amp;"'!D38:D41"),INDIRECT("'"&amp;$A239&amp;"'!D44:D49")),SUM(INDIRECT("'"&amp;$A239&amp;"'!D38"),SUM(INDIRECT("'"&amp;$A239&amp;"'!D41"),INDIRECT("'"&amp;$A239&amp;"'!D44:D49"))))</f>
        <v>#REF!</v>
      </c>
      <c r="E239" s="66" t="e">
        <f ca="1">IF('Input Global'!$B$62="no",SUM(INDIRECT("'"&amp;$A239&amp;"'!E38:E41"),INDIRECT("'"&amp;$A239&amp;"'!E44:E49")),SUM(INDIRECT("'"&amp;$A239&amp;"'!E38"),SUM(INDIRECT("'"&amp;$A239&amp;"'!E41"),INDIRECT("'"&amp;$A239&amp;"'!E44:E49"))))</f>
        <v>#REF!</v>
      </c>
      <c r="F239" s="66" t="e">
        <f ca="1">IF('Input Global'!$B$62="no",SUM(INDIRECT("'"&amp;$A239&amp;"'!F38:F41"),INDIRECT("'"&amp;$A239&amp;"'!F44:F49")),SUM(INDIRECT("'"&amp;$A239&amp;"'!F38"),SUM(INDIRECT("'"&amp;$A239&amp;"'!F41"),INDIRECT("'"&amp;$A239&amp;"'!F44:F49"))))</f>
        <v>#REF!</v>
      </c>
      <c r="G239" s="66" t="e">
        <f ca="1">IF('Input Global'!$B$62="no",SUM(INDIRECT("'"&amp;$A239&amp;"'!G38:G41"),INDIRECT("'"&amp;$A239&amp;"'!G44:G49")),SUM(INDIRECT("'"&amp;$A239&amp;"'!G38"),SUM(INDIRECT("'"&amp;$A239&amp;"'!G41"),INDIRECT("'"&amp;$A239&amp;"'!G44:G49"))))</f>
        <v>#REF!</v>
      </c>
      <c r="H239" s="66" t="e">
        <f ca="1">IF('Input Global'!$B$62="no",SUM(INDIRECT("'"&amp;$A239&amp;"'!H38:H41"),INDIRECT("'"&amp;$A239&amp;"'!H44:H49")),SUM(INDIRECT("'"&amp;$A239&amp;"'!H38"),SUM(INDIRECT("'"&amp;$A239&amp;"'!H41"),INDIRECT("'"&amp;$A239&amp;"'!H44:H49"))))</f>
        <v>#REF!</v>
      </c>
    </row>
    <row r="240" spans="1:10" s="21" customFormat="1" hidden="1" x14ac:dyDescent="0.3">
      <c r="A240" s="24" t="str">
        <f>Dist4</f>
        <v>blank</v>
      </c>
      <c r="D240" s="60"/>
      <c r="E240" s="60"/>
      <c r="F240" s="60"/>
      <c r="G240" s="60"/>
      <c r="H240" s="60"/>
    </row>
    <row r="241" spans="1:14" s="21" customFormat="1" hidden="1" x14ac:dyDescent="0.3">
      <c r="A241" s="21" t="str">
        <f ca="1">'Calc (Jurisdiction)'!$B$2</f>
        <v>Calc (Jurisdiction)</v>
      </c>
      <c r="B241" s="87" t="s">
        <v>25</v>
      </c>
      <c r="C241" s="87" t="s">
        <v>128</v>
      </c>
      <c r="D241" s="66">
        <f ca="1">IF('Input Global'!$B$62="no",SUM(INDIRECT("'"&amp;$A241&amp;"'!D53:D56"),INDIRECT("'"&amp;$A241&amp;"'!D59:D64")),SUM(INDIRECT("'"&amp;$A241&amp;"'!D53"),SUM(INDIRECT("'"&amp;$A241&amp;"'!D56"),INDIRECT("'"&amp;$A241&amp;"'!D59:D64"))))</f>
        <v>0</v>
      </c>
      <c r="E241" s="66">
        <f ca="1">IF('Input Global'!$B$62="no",SUM(INDIRECT("'"&amp;$A241&amp;"'!E53:E56"),INDIRECT("'"&amp;$A241&amp;"'!E59:E64")),SUM(INDIRECT("'"&amp;$A241&amp;"'!E53"),SUM(INDIRECT("'"&amp;$A241&amp;"'!E56"),INDIRECT("'"&amp;$A241&amp;"'!E59:E64"))))</f>
        <v>0</v>
      </c>
      <c r="F241" s="66">
        <f ca="1">IF('Input Global'!$B$62="no",SUM(INDIRECT("'"&amp;$A241&amp;"'!F53:F56"),INDIRECT("'"&amp;$A241&amp;"'!F59:F64")),SUM(INDIRECT("'"&amp;$A241&amp;"'!F53"),SUM(INDIRECT("'"&amp;$A241&amp;"'!F56"),INDIRECT("'"&amp;$A241&amp;"'!F59:F64"))))</f>
        <v>0</v>
      </c>
      <c r="G241" s="66">
        <f ca="1">IF('Input Global'!$B$62="no",SUM(INDIRECT("'"&amp;$A241&amp;"'!G53:G56"),INDIRECT("'"&amp;$A241&amp;"'!G59:G64")),SUM(INDIRECT("'"&amp;$A241&amp;"'!G53"),SUM(INDIRECT("'"&amp;$A241&amp;"'!G56"),INDIRECT("'"&amp;$A241&amp;"'!G59:G64"))))</f>
        <v>0</v>
      </c>
      <c r="H241" s="66">
        <f ca="1">IF('Input Global'!$B$62="no",SUM(INDIRECT("'"&amp;$A241&amp;"'!H53:H56"),INDIRECT("'"&amp;$A241&amp;"'!H59:H64")),SUM(INDIRECT("'"&amp;$A241&amp;"'!H53"),SUM(INDIRECT("'"&amp;$A241&amp;"'!H56"),INDIRECT("'"&amp;$A241&amp;"'!H59:H64"))))</f>
        <v>0</v>
      </c>
    </row>
    <row r="242" spans="1:14" s="21" customFormat="1" hidden="1" x14ac:dyDescent="0.3">
      <c r="A242" s="21" t="e">
        <f>#REF!</f>
        <v>#REF!</v>
      </c>
      <c r="B242" s="87" t="s">
        <v>25</v>
      </c>
      <c r="C242" s="87" t="s">
        <v>128</v>
      </c>
      <c r="D242" s="66" t="e">
        <f ca="1">IF('Input Global'!$B$62="no",SUM(INDIRECT("'"&amp;$A242&amp;"'!D53:D56"),INDIRECT("'"&amp;$A242&amp;"'!D59:D64")),SUM(INDIRECT("'"&amp;$A242&amp;"'!D53"),SUM(INDIRECT("'"&amp;$A242&amp;"'!D56"),INDIRECT("'"&amp;$A242&amp;"'!D59:D64"))))</f>
        <v>#REF!</v>
      </c>
      <c r="E242" s="66" t="e">
        <f ca="1">IF('Input Global'!$B$62="no",SUM(INDIRECT("'"&amp;$A242&amp;"'!E53:E56"),INDIRECT("'"&amp;$A242&amp;"'!E59:E64")),SUM(INDIRECT("'"&amp;$A242&amp;"'!E53"),SUM(INDIRECT("'"&amp;$A242&amp;"'!E56"),INDIRECT("'"&amp;$A242&amp;"'!E59:E64"))))</f>
        <v>#REF!</v>
      </c>
      <c r="F242" s="66" t="e">
        <f ca="1">IF('Input Global'!$B$62="no",SUM(INDIRECT("'"&amp;$A242&amp;"'!F53:F56"),INDIRECT("'"&amp;$A242&amp;"'!F59:F64")),SUM(INDIRECT("'"&amp;$A242&amp;"'!F53"),SUM(INDIRECT("'"&amp;$A242&amp;"'!F56"),INDIRECT("'"&amp;$A242&amp;"'!F59:F64"))))</f>
        <v>#REF!</v>
      </c>
      <c r="G242" s="66" t="e">
        <f ca="1">IF('Input Global'!$B$62="no",SUM(INDIRECT("'"&amp;$A242&amp;"'!G53:G56"),INDIRECT("'"&amp;$A242&amp;"'!G59:G64")),SUM(INDIRECT("'"&amp;$A242&amp;"'!G53"),SUM(INDIRECT("'"&amp;$A242&amp;"'!G56"),INDIRECT("'"&amp;$A242&amp;"'!G59:G64"))))</f>
        <v>#REF!</v>
      </c>
      <c r="H242" s="66" t="e">
        <f ca="1">IF('Input Global'!$B$62="no",SUM(INDIRECT("'"&amp;$A242&amp;"'!H53:H56"),INDIRECT("'"&amp;$A242&amp;"'!H59:H64")),SUM(INDIRECT("'"&amp;$A242&amp;"'!H53"),SUM(INDIRECT("'"&amp;$A242&amp;"'!H56"),INDIRECT("'"&amp;$A242&amp;"'!H59:H64"))))</f>
        <v>#REF!</v>
      </c>
    </row>
    <row r="243" spans="1:14" s="21" customFormat="1" hidden="1" x14ac:dyDescent="0.3">
      <c r="A243" s="21" t="e">
        <f>#REF!</f>
        <v>#REF!</v>
      </c>
      <c r="B243" s="87" t="s">
        <v>25</v>
      </c>
      <c r="C243" s="87" t="s">
        <v>128</v>
      </c>
      <c r="D243" s="66" t="e">
        <f ca="1">IF('Input Global'!$B$62="no",SUM(INDIRECT("'"&amp;$A243&amp;"'!D53:D56"),INDIRECT("'"&amp;$A243&amp;"'!D59:D64")),SUM(INDIRECT("'"&amp;$A243&amp;"'!D53"),SUM(INDIRECT("'"&amp;$A243&amp;"'!D56"),INDIRECT("'"&amp;$A243&amp;"'!D59:D64"))))</f>
        <v>#REF!</v>
      </c>
      <c r="E243" s="66" t="e">
        <f ca="1">IF('Input Global'!$B$62="no",SUM(INDIRECT("'"&amp;$A243&amp;"'!E53:E56"),INDIRECT("'"&amp;$A243&amp;"'!E59:E64")),SUM(INDIRECT("'"&amp;$A243&amp;"'!E53"),SUM(INDIRECT("'"&amp;$A243&amp;"'!E56"),INDIRECT("'"&amp;$A243&amp;"'!E59:E64"))))</f>
        <v>#REF!</v>
      </c>
      <c r="F243" s="66" t="e">
        <f ca="1">IF('Input Global'!$B$62="no",SUM(INDIRECT("'"&amp;$A243&amp;"'!F53:F56"),INDIRECT("'"&amp;$A243&amp;"'!F59:F64")),SUM(INDIRECT("'"&amp;$A243&amp;"'!F53"),SUM(INDIRECT("'"&amp;$A243&amp;"'!F56"),INDIRECT("'"&amp;$A243&amp;"'!F59:F64"))))</f>
        <v>#REF!</v>
      </c>
      <c r="G243" s="66" t="e">
        <f ca="1">IF('Input Global'!$B$62="no",SUM(INDIRECT("'"&amp;$A243&amp;"'!G53:G56"),INDIRECT("'"&amp;$A243&amp;"'!G59:G64")),SUM(INDIRECT("'"&amp;$A243&amp;"'!G53"),SUM(INDIRECT("'"&amp;$A243&amp;"'!G56"),INDIRECT("'"&amp;$A243&amp;"'!G59:G64"))))</f>
        <v>#REF!</v>
      </c>
      <c r="H243" s="66" t="e">
        <f ca="1">IF('Input Global'!$B$62="no",SUM(INDIRECT("'"&amp;$A243&amp;"'!H53:H56"),INDIRECT("'"&amp;$A243&amp;"'!H59:H64")),SUM(INDIRECT("'"&amp;$A243&amp;"'!H53"),SUM(INDIRECT("'"&amp;$A243&amp;"'!H56"),INDIRECT("'"&amp;$A243&amp;"'!H59:H64"))))</f>
        <v>#REF!</v>
      </c>
    </row>
    <row r="244" spans="1:14" s="21" customFormat="1" hidden="1" x14ac:dyDescent="0.3">
      <c r="A244" s="21" t="e">
        <f>#REF!</f>
        <v>#REF!</v>
      </c>
      <c r="B244" s="87" t="s">
        <v>25</v>
      </c>
      <c r="C244" s="87" t="s">
        <v>128</v>
      </c>
      <c r="D244" s="66" t="e">
        <f ca="1">IF('Input Global'!$B$62="no",SUM(INDIRECT("'"&amp;$A244&amp;"'!D53:D56"),INDIRECT("'"&amp;$A244&amp;"'!D59:D64")),SUM(INDIRECT("'"&amp;$A244&amp;"'!D53"),SUM(INDIRECT("'"&amp;$A244&amp;"'!D56"),INDIRECT("'"&amp;$A244&amp;"'!D59:D64"))))</f>
        <v>#REF!</v>
      </c>
      <c r="E244" s="66" t="e">
        <f ca="1">IF('Input Global'!$B$62="no",SUM(INDIRECT("'"&amp;$A244&amp;"'!E53:E56"),INDIRECT("'"&amp;$A244&amp;"'!E59:E64")),SUM(INDIRECT("'"&amp;$A244&amp;"'!E53"),SUM(INDIRECT("'"&amp;$A244&amp;"'!E56"),INDIRECT("'"&amp;$A244&amp;"'!E59:E64"))))</f>
        <v>#REF!</v>
      </c>
      <c r="F244" s="66" t="e">
        <f ca="1">IF('Input Global'!$B$62="no",SUM(INDIRECT("'"&amp;$A244&amp;"'!F53:F56"),INDIRECT("'"&amp;$A244&amp;"'!F59:F64")),SUM(INDIRECT("'"&amp;$A244&amp;"'!F53"),SUM(INDIRECT("'"&amp;$A244&amp;"'!F56"),INDIRECT("'"&amp;$A244&amp;"'!F59:F64"))))</f>
        <v>#REF!</v>
      </c>
      <c r="G244" s="66" t="e">
        <f ca="1">IF('Input Global'!$B$62="no",SUM(INDIRECT("'"&amp;$A244&amp;"'!G53:G56"),INDIRECT("'"&amp;$A244&amp;"'!G59:G64")),SUM(INDIRECT("'"&amp;$A244&amp;"'!G53"),SUM(INDIRECT("'"&amp;$A244&amp;"'!G56"),INDIRECT("'"&amp;$A244&amp;"'!G59:G64"))))</f>
        <v>#REF!</v>
      </c>
      <c r="H244" s="66" t="e">
        <f ca="1">IF('Input Global'!$B$62="no",SUM(INDIRECT("'"&amp;$A244&amp;"'!H53:H56"),INDIRECT("'"&amp;$A244&amp;"'!H59:H64")),SUM(INDIRECT("'"&amp;$A244&amp;"'!H53"),SUM(INDIRECT("'"&amp;$A244&amp;"'!H56"),INDIRECT("'"&amp;$A244&amp;"'!H59:H64"))))</f>
        <v>#REF!</v>
      </c>
    </row>
    <row r="245" spans="1:14" s="21" customFormat="1" hidden="1" x14ac:dyDescent="0.3">
      <c r="A245" s="21" t="e">
        <f>#REF!</f>
        <v>#REF!</v>
      </c>
      <c r="B245" s="87" t="s">
        <v>25</v>
      </c>
      <c r="C245" s="87" t="s">
        <v>128</v>
      </c>
      <c r="D245" s="66" t="e">
        <f ca="1">IF('Input Global'!$B$62="no",SUM(INDIRECT("'"&amp;$A245&amp;"'!D53:D56"),INDIRECT("'"&amp;$A245&amp;"'!D59:D64")),SUM(INDIRECT("'"&amp;$A245&amp;"'!D53"),SUM(INDIRECT("'"&amp;$A245&amp;"'!D56"),INDIRECT("'"&amp;$A245&amp;"'!D59:D64"))))</f>
        <v>#REF!</v>
      </c>
      <c r="E245" s="66" t="e">
        <f ca="1">IF('Input Global'!$B$62="no",SUM(INDIRECT("'"&amp;$A245&amp;"'!E53:E56"),INDIRECT("'"&amp;$A245&amp;"'!E59:E64")),SUM(INDIRECT("'"&amp;$A245&amp;"'!E53"),SUM(INDIRECT("'"&amp;$A245&amp;"'!E56"),INDIRECT("'"&amp;$A245&amp;"'!E59:E64"))))</f>
        <v>#REF!</v>
      </c>
      <c r="F245" s="66" t="e">
        <f ca="1">IF('Input Global'!$B$62="no",SUM(INDIRECT("'"&amp;$A245&amp;"'!F53:F56"),INDIRECT("'"&amp;$A245&amp;"'!F59:F64")),SUM(INDIRECT("'"&amp;$A245&amp;"'!F53"),SUM(INDIRECT("'"&amp;$A245&amp;"'!F56"),INDIRECT("'"&amp;$A245&amp;"'!F59:F64"))))</f>
        <v>#REF!</v>
      </c>
      <c r="G245" s="66" t="e">
        <f ca="1">IF('Input Global'!$B$62="no",SUM(INDIRECT("'"&amp;$A245&amp;"'!G53:G56"),INDIRECT("'"&amp;$A245&amp;"'!G59:G64")),SUM(INDIRECT("'"&amp;$A245&amp;"'!G53"),SUM(INDIRECT("'"&amp;$A245&amp;"'!G56"),INDIRECT("'"&amp;$A245&amp;"'!G59:G64"))))</f>
        <v>#REF!</v>
      </c>
      <c r="H245" s="66" t="e">
        <f ca="1">IF('Input Global'!$B$62="no",SUM(INDIRECT("'"&amp;$A245&amp;"'!H53:H56"),INDIRECT("'"&amp;$A245&amp;"'!H59:H64")),SUM(INDIRECT("'"&amp;$A245&amp;"'!H53"),SUM(INDIRECT("'"&amp;$A245&amp;"'!H56"),INDIRECT("'"&amp;$A245&amp;"'!H59:H64"))))</f>
        <v>#REF!</v>
      </c>
    </row>
    <row r="246" spans="1:14" s="21" customFormat="1" hidden="1" x14ac:dyDescent="0.3">
      <c r="A246" s="24" t="str">
        <f>Dist5</f>
        <v>blank</v>
      </c>
      <c r="D246" s="60"/>
      <c r="E246" s="60"/>
      <c r="F246" s="60"/>
      <c r="G246" s="60"/>
      <c r="H246" s="60"/>
    </row>
    <row r="247" spans="1:14" s="21" customFormat="1" hidden="1" x14ac:dyDescent="0.3">
      <c r="A247" s="21" t="str">
        <f ca="1">'Calc (Jurisdiction)'!$B$2</f>
        <v>Calc (Jurisdiction)</v>
      </c>
      <c r="B247" s="87" t="s">
        <v>25</v>
      </c>
      <c r="C247" s="87" t="s">
        <v>128</v>
      </c>
      <c r="D247" s="66">
        <f ca="1">IF('Input Global'!$B$62="no",SUM(INDIRECT("'"&amp;$A247&amp;"'!D68:D71"),INDIRECT("'"&amp;$A247&amp;"'!D74:D79")),SUM(INDIRECT("'"&amp;$A247&amp;"'!D68"),SUM(INDIRECT("'"&amp;$A247&amp;"'!D71"),INDIRECT("'"&amp;$A247&amp;"'!D74:D79"))))</f>
        <v>0</v>
      </c>
      <c r="E247" s="66">
        <f ca="1">IF('Input Global'!$B$62="no",SUM(INDIRECT("'"&amp;$A247&amp;"'!E68:E71"),INDIRECT("'"&amp;$A247&amp;"'!E74:E79")),SUM(INDIRECT("'"&amp;$A247&amp;"'!E68"),SUM(INDIRECT("'"&amp;$A247&amp;"'!E71"),INDIRECT("'"&amp;$A247&amp;"'!E74:E79"))))</f>
        <v>0</v>
      </c>
      <c r="F247" s="66">
        <f ca="1">IF('Input Global'!$B$62="no",SUM(INDIRECT("'"&amp;$A247&amp;"'!F68:F71"),INDIRECT("'"&amp;$A247&amp;"'!F74:F79")),SUM(INDIRECT("'"&amp;$A247&amp;"'!F68"),SUM(INDIRECT("'"&amp;$A247&amp;"'!F71"),INDIRECT("'"&amp;$A247&amp;"'!F74:F79"))))</f>
        <v>0</v>
      </c>
      <c r="G247" s="66">
        <f ca="1">IF('Input Global'!$B$62="no",SUM(INDIRECT("'"&amp;$A247&amp;"'!G68:G71"),INDIRECT("'"&amp;$A247&amp;"'!G74:G79")),SUM(INDIRECT("'"&amp;$A247&amp;"'!G68"),SUM(INDIRECT("'"&amp;$A247&amp;"'!G71"),INDIRECT("'"&amp;$A247&amp;"'!G74:G79"))))</f>
        <v>0</v>
      </c>
      <c r="H247" s="66">
        <f ca="1">IF('Input Global'!$B$62="no",SUM(INDIRECT("'"&amp;$A247&amp;"'!H68:H71"),INDIRECT("'"&amp;$A247&amp;"'!H74:H79")),SUM(INDIRECT("'"&amp;$A247&amp;"'!H68"),SUM(INDIRECT("'"&amp;$A247&amp;"'!H71"),INDIRECT("'"&amp;$A247&amp;"'!H74:H79"))))</f>
        <v>0</v>
      </c>
    </row>
    <row r="248" spans="1:14" s="21" customFormat="1" hidden="1" x14ac:dyDescent="0.3">
      <c r="A248" s="21" t="e">
        <f>#REF!</f>
        <v>#REF!</v>
      </c>
      <c r="B248" s="87" t="s">
        <v>25</v>
      </c>
      <c r="C248" s="87" t="s">
        <v>128</v>
      </c>
      <c r="D248" s="66" t="e">
        <f ca="1">IF('Input Global'!$B$62="no",SUM(INDIRECT("'"&amp;$A248&amp;"'!D68:D71"),INDIRECT("'"&amp;$A248&amp;"'!D74:D79")),SUM(INDIRECT("'"&amp;$A248&amp;"'!D68"),SUM(INDIRECT("'"&amp;$A248&amp;"'!D71"),INDIRECT("'"&amp;$A248&amp;"'!D74:D79"))))</f>
        <v>#REF!</v>
      </c>
      <c r="E248" s="66" t="e">
        <f ca="1">IF('Input Global'!$B$62="no",SUM(INDIRECT("'"&amp;$A248&amp;"'!E68:E71"),INDIRECT("'"&amp;$A248&amp;"'!E74:E79")),SUM(INDIRECT("'"&amp;$A248&amp;"'!E68"),SUM(INDIRECT("'"&amp;$A248&amp;"'!E71"),INDIRECT("'"&amp;$A248&amp;"'!E74:E79"))))</f>
        <v>#REF!</v>
      </c>
      <c r="F248" s="66" t="e">
        <f ca="1">IF('Input Global'!$B$62="no",SUM(INDIRECT("'"&amp;$A248&amp;"'!F68:F71"),INDIRECT("'"&amp;$A248&amp;"'!F74:F79")),SUM(INDIRECT("'"&amp;$A248&amp;"'!F68"),SUM(INDIRECT("'"&amp;$A248&amp;"'!F71"),INDIRECT("'"&amp;$A248&amp;"'!F74:F79"))))</f>
        <v>#REF!</v>
      </c>
      <c r="G248" s="66" t="e">
        <f ca="1">IF('Input Global'!$B$62="no",SUM(INDIRECT("'"&amp;$A248&amp;"'!G68:G71"),INDIRECT("'"&amp;$A248&amp;"'!G74:G79")),SUM(INDIRECT("'"&amp;$A248&amp;"'!G68"),SUM(INDIRECT("'"&amp;$A248&amp;"'!G71"),INDIRECT("'"&amp;$A248&amp;"'!G74:G79"))))</f>
        <v>#REF!</v>
      </c>
      <c r="H248" s="66" t="e">
        <f ca="1">IF('Input Global'!$B$62="no",SUM(INDIRECT("'"&amp;$A248&amp;"'!H68:H71"),INDIRECT("'"&amp;$A248&amp;"'!H74:H79")),SUM(INDIRECT("'"&amp;$A248&amp;"'!H68"),SUM(INDIRECT("'"&amp;$A248&amp;"'!H71"),INDIRECT("'"&amp;$A248&amp;"'!H74:H79"))))</f>
        <v>#REF!</v>
      </c>
    </row>
    <row r="249" spans="1:14" s="21" customFormat="1" hidden="1" x14ac:dyDescent="0.3">
      <c r="A249" s="21" t="e">
        <f>#REF!</f>
        <v>#REF!</v>
      </c>
      <c r="B249" s="87" t="s">
        <v>25</v>
      </c>
      <c r="C249" s="87" t="s">
        <v>128</v>
      </c>
      <c r="D249" s="66" t="e">
        <f ca="1">IF('Input Global'!$B$62="no",SUM(INDIRECT("'"&amp;$A249&amp;"'!D68:D71"),INDIRECT("'"&amp;$A249&amp;"'!D74:D79")),SUM(INDIRECT("'"&amp;$A249&amp;"'!D68"),SUM(INDIRECT("'"&amp;$A249&amp;"'!D71"),INDIRECT("'"&amp;$A249&amp;"'!D74:D79"))))</f>
        <v>#REF!</v>
      </c>
      <c r="E249" s="66" t="e">
        <f ca="1">IF('Input Global'!$B$62="no",SUM(INDIRECT("'"&amp;$A249&amp;"'!E68:E71"),INDIRECT("'"&amp;$A249&amp;"'!E74:E79")),SUM(INDIRECT("'"&amp;$A249&amp;"'!E68"),SUM(INDIRECT("'"&amp;$A249&amp;"'!E71"),INDIRECT("'"&amp;$A249&amp;"'!E74:E79"))))</f>
        <v>#REF!</v>
      </c>
      <c r="F249" s="66" t="e">
        <f ca="1">IF('Input Global'!$B$62="no",SUM(INDIRECT("'"&amp;$A249&amp;"'!F68:F71"),INDIRECT("'"&amp;$A249&amp;"'!F74:F79")),SUM(INDIRECT("'"&amp;$A249&amp;"'!F68"),SUM(INDIRECT("'"&amp;$A249&amp;"'!F71"),INDIRECT("'"&amp;$A249&amp;"'!F74:F79"))))</f>
        <v>#REF!</v>
      </c>
      <c r="G249" s="66" t="e">
        <f ca="1">IF('Input Global'!$B$62="no",SUM(INDIRECT("'"&amp;$A249&amp;"'!G68:G71"),INDIRECT("'"&amp;$A249&amp;"'!G74:G79")),SUM(INDIRECT("'"&amp;$A249&amp;"'!G68"),SUM(INDIRECT("'"&amp;$A249&amp;"'!G71"),INDIRECT("'"&amp;$A249&amp;"'!G74:G79"))))</f>
        <v>#REF!</v>
      </c>
      <c r="H249" s="66" t="e">
        <f ca="1">IF('Input Global'!$B$62="no",SUM(INDIRECT("'"&amp;$A249&amp;"'!H68:H71"),INDIRECT("'"&amp;$A249&amp;"'!H74:H79")),SUM(INDIRECT("'"&amp;$A249&amp;"'!H68"),SUM(INDIRECT("'"&amp;$A249&amp;"'!H71"),INDIRECT("'"&amp;$A249&amp;"'!H74:H79"))))</f>
        <v>#REF!</v>
      </c>
    </row>
    <row r="250" spans="1:14" s="21" customFormat="1" hidden="1" x14ac:dyDescent="0.3">
      <c r="A250" s="21" t="e">
        <f>#REF!</f>
        <v>#REF!</v>
      </c>
      <c r="B250" s="87" t="s">
        <v>25</v>
      </c>
      <c r="C250" s="87" t="s">
        <v>128</v>
      </c>
      <c r="D250" s="66" t="e">
        <f ca="1">IF('Input Global'!$B$62="no",SUM(INDIRECT("'"&amp;$A250&amp;"'!D68:D71"),INDIRECT("'"&amp;$A250&amp;"'!D74:D79")),SUM(INDIRECT("'"&amp;$A250&amp;"'!D68"),SUM(INDIRECT("'"&amp;$A250&amp;"'!D71"),INDIRECT("'"&amp;$A250&amp;"'!D74:D79"))))</f>
        <v>#REF!</v>
      </c>
      <c r="E250" s="66" t="e">
        <f ca="1">IF('Input Global'!$B$62="no",SUM(INDIRECT("'"&amp;$A250&amp;"'!E68:E71"),INDIRECT("'"&amp;$A250&amp;"'!E74:E79")),SUM(INDIRECT("'"&amp;$A250&amp;"'!E68"),SUM(INDIRECT("'"&amp;$A250&amp;"'!E71"),INDIRECT("'"&amp;$A250&amp;"'!E74:E79"))))</f>
        <v>#REF!</v>
      </c>
      <c r="F250" s="66" t="e">
        <f ca="1">IF('Input Global'!$B$62="no",SUM(INDIRECT("'"&amp;$A250&amp;"'!F68:F71"),INDIRECT("'"&amp;$A250&amp;"'!F74:F79")),SUM(INDIRECT("'"&amp;$A250&amp;"'!F68"),SUM(INDIRECT("'"&amp;$A250&amp;"'!F71"),INDIRECT("'"&amp;$A250&amp;"'!F74:F79"))))</f>
        <v>#REF!</v>
      </c>
      <c r="G250" s="66" t="e">
        <f ca="1">IF('Input Global'!$B$62="no",SUM(INDIRECT("'"&amp;$A250&amp;"'!G68:G71"),INDIRECT("'"&amp;$A250&amp;"'!G74:G79")),SUM(INDIRECT("'"&amp;$A250&amp;"'!G68"),SUM(INDIRECT("'"&amp;$A250&amp;"'!G71"),INDIRECT("'"&amp;$A250&amp;"'!G74:G79"))))</f>
        <v>#REF!</v>
      </c>
      <c r="H250" s="66" t="e">
        <f ca="1">IF('Input Global'!$B$62="no",SUM(INDIRECT("'"&amp;$A250&amp;"'!H68:H71"),INDIRECT("'"&amp;$A250&amp;"'!H74:H79")),SUM(INDIRECT("'"&amp;$A250&amp;"'!H68"),SUM(INDIRECT("'"&amp;$A250&amp;"'!H71"),INDIRECT("'"&amp;$A250&amp;"'!H74:H79"))))</f>
        <v>#REF!</v>
      </c>
    </row>
    <row r="251" spans="1:14" s="21" customFormat="1" hidden="1" x14ac:dyDescent="0.3">
      <c r="A251" s="21" t="e">
        <f>#REF!</f>
        <v>#REF!</v>
      </c>
      <c r="B251" s="87" t="s">
        <v>25</v>
      </c>
      <c r="C251" s="87" t="s">
        <v>128</v>
      </c>
      <c r="D251" s="66" t="e">
        <f ca="1">IF('Input Global'!$B$62="no",SUM(INDIRECT("'"&amp;$A251&amp;"'!D68:D71"),INDIRECT("'"&amp;$A251&amp;"'!D74:D79")),SUM(INDIRECT("'"&amp;$A251&amp;"'!D68"),SUM(INDIRECT("'"&amp;$A251&amp;"'!D71"),INDIRECT("'"&amp;$A251&amp;"'!D74:D79"))))</f>
        <v>#REF!</v>
      </c>
      <c r="E251" s="66" t="e">
        <f ca="1">IF('Input Global'!$B$62="no",SUM(INDIRECT("'"&amp;$A251&amp;"'!E68:E71"),INDIRECT("'"&amp;$A251&amp;"'!E74:E79")),SUM(INDIRECT("'"&amp;$A251&amp;"'!E68"),SUM(INDIRECT("'"&amp;$A251&amp;"'!E71"),INDIRECT("'"&amp;$A251&amp;"'!E74:E79"))))</f>
        <v>#REF!</v>
      </c>
      <c r="F251" s="66" t="e">
        <f ca="1">IF('Input Global'!$B$62="no",SUM(INDIRECT("'"&amp;$A251&amp;"'!F68:F71"),INDIRECT("'"&amp;$A251&amp;"'!F74:F79")),SUM(INDIRECT("'"&amp;$A251&amp;"'!F68"),SUM(INDIRECT("'"&amp;$A251&amp;"'!F71"),INDIRECT("'"&amp;$A251&amp;"'!F74:F79"))))</f>
        <v>#REF!</v>
      </c>
      <c r="G251" s="66" t="e">
        <f ca="1">IF('Input Global'!$B$62="no",SUM(INDIRECT("'"&amp;$A251&amp;"'!G68:G71"),INDIRECT("'"&amp;$A251&amp;"'!G74:G79")),SUM(INDIRECT("'"&amp;$A251&amp;"'!G68"),SUM(INDIRECT("'"&amp;$A251&amp;"'!G71"),INDIRECT("'"&amp;$A251&amp;"'!G74:G79"))))</f>
        <v>#REF!</v>
      </c>
      <c r="H251" s="66" t="e">
        <f ca="1">IF('Input Global'!$B$62="no",SUM(INDIRECT("'"&amp;$A251&amp;"'!H68:H71"),INDIRECT("'"&amp;$A251&amp;"'!H74:H79")),SUM(INDIRECT("'"&amp;$A251&amp;"'!H68"),SUM(INDIRECT("'"&amp;$A251&amp;"'!H71"),INDIRECT("'"&amp;$A251&amp;"'!H74:H79"))))</f>
        <v>#REF!</v>
      </c>
    </row>
    <row r="252" spans="1:14" s="21" customFormat="1" x14ac:dyDescent="0.3"/>
    <row r="253" spans="1:14" s="23" customFormat="1" ht="18.75" x14ac:dyDescent="0.3">
      <c r="A253" s="22" t="s">
        <v>123</v>
      </c>
    </row>
    <row r="254" spans="1:14" s="21" customFormat="1" x14ac:dyDescent="0.3">
      <c r="A254" s="32" t="str">
        <f>'Input Frontier'!A41</f>
        <v>Carbon costs</v>
      </c>
      <c r="D254" s="25"/>
      <c r="E254" s="25"/>
      <c r="F254" s="25"/>
      <c r="G254" s="25"/>
      <c r="H254" s="25"/>
    </row>
    <row r="255" spans="1:14" s="21" customFormat="1" x14ac:dyDescent="0.3">
      <c r="A255" s="24" t="str">
        <f>Dist1</f>
        <v>Northern Territory</v>
      </c>
      <c r="D255" s="25"/>
      <c r="E255" s="25"/>
      <c r="F255" s="25"/>
      <c r="G255" s="25"/>
      <c r="H255" s="25"/>
    </row>
    <row r="256" spans="1:14" s="21" customFormat="1" x14ac:dyDescent="0.3">
      <c r="A256" s="21" t="str">
        <f ca="1">'Calc (Jurisdiction)'!$B$2</f>
        <v>Calc (Jurisdiction)</v>
      </c>
      <c r="B256" s="87" t="s">
        <v>25</v>
      </c>
      <c r="C256" s="21" t="s">
        <v>11</v>
      </c>
      <c r="D256" s="64">
        <f t="shared" ref="D256:H260" si="41">D$356+D448</f>
        <v>0</v>
      </c>
      <c r="E256" s="64">
        <f t="shared" si="41"/>
        <v>0</v>
      </c>
      <c r="F256" s="64">
        <f t="shared" si="41"/>
        <v>1.325990909090909</v>
      </c>
      <c r="G256" s="64">
        <f t="shared" si="41"/>
        <v>1.8883261643835614</v>
      </c>
      <c r="H256" s="64">
        <f t="shared" si="41"/>
        <v>1.9355343184931502</v>
      </c>
      <c r="I256" s="28"/>
      <c r="J256" s="33"/>
      <c r="K256" s="33"/>
      <c r="L256" s="33"/>
      <c r="M256" s="33"/>
      <c r="N256" s="33"/>
    </row>
    <row r="257" spans="1:14" s="21" customFormat="1" hidden="1" x14ac:dyDescent="0.3">
      <c r="A257" s="21" t="e">
        <f>#REF!</f>
        <v>#REF!</v>
      </c>
      <c r="B257" s="87" t="s">
        <v>25</v>
      </c>
      <c r="C257" s="21" t="s">
        <v>11</v>
      </c>
      <c r="D257" s="64">
        <f t="shared" si="41"/>
        <v>0</v>
      </c>
      <c r="E257" s="64">
        <f t="shared" si="41"/>
        <v>0</v>
      </c>
      <c r="F257" s="64">
        <f t="shared" si="41"/>
        <v>1.325990909090909</v>
      </c>
      <c r="G257" s="64">
        <f t="shared" si="41"/>
        <v>3.2474668462017431</v>
      </c>
      <c r="H257" s="64">
        <f t="shared" si="41"/>
        <v>1.3931191988636362</v>
      </c>
      <c r="I257" s="28"/>
      <c r="J257" s="33"/>
      <c r="K257" s="33"/>
      <c r="L257" s="33"/>
      <c r="M257" s="33"/>
      <c r="N257" s="33"/>
    </row>
    <row r="258" spans="1:14" s="21" customFormat="1" hidden="1" x14ac:dyDescent="0.3">
      <c r="A258" s="21" t="e">
        <f>#REF!</f>
        <v>#REF!</v>
      </c>
      <c r="B258" s="87" t="s">
        <v>25</v>
      </c>
      <c r="C258" s="21" t="s">
        <v>11</v>
      </c>
      <c r="D258" s="64">
        <f t="shared" si="41"/>
        <v>0</v>
      </c>
      <c r="E258" s="64">
        <f t="shared" si="41"/>
        <v>0</v>
      </c>
      <c r="F258" s="64">
        <f t="shared" si="41"/>
        <v>1.325990909090909</v>
      </c>
      <c r="G258" s="64">
        <f t="shared" si="41"/>
        <v>3.2474668462017431</v>
      </c>
      <c r="H258" s="64">
        <f t="shared" si="41"/>
        <v>1.3931191988636362</v>
      </c>
      <c r="I258" s="28"/>
      <c r="J258" s="34"/>
      <c r="K258" s="34"/>
      <c r="L258" s="34"/>
      <c r="M258" s="34"/>
      <c r="N258" s="34"/>
    </row>
    <row r="259" spans="1:14" s="21" customFormat="1" hidden="1" x14ac:dyDescent="0.3">
      <c r="A259" s="21" t="e">
        <f>#REF!</f>
        <v>#REF!</v>
      </c>
      <c r="B259" s="87" t="s">
        <v>25</v>
      </c>
      <c r="C259" s="21" t="s">
        <v>11</v>
      </c>
      <c r="D259" s="64">
        <f t="shared" si="41"/>
        <v>0</v>
      </c>
      <c r="E259" s="64">
        <f t="shared" si="41"/>
        <v>0</v>
      </c>
      <c r="F259" s="64">
        <f t="shared" si="41"/>
        <v>1.325990909090909</v>
      </c>
      <c r="G259" s="64">
        <f t="shared" si="41"/>
        <v>3.2474668462017431</v>
      </c>
      <c r="H259" s="64">
        <f t="shared" si="41"/>
        <v>1.3931191988636362</v>
      </c>
      <c r="I259" s="28"/>
      <c r="J259" s="28"/>
      <c r="K259" s="28"/>
      <c r="L259" s="28"/>
      <c r="M259" s="28"/>
      <c r="N259" s="28"/>
    </row>
    <row r="260" spans="1:14" s="21" customFormat="1" hidden="1" x14ac:dyDescent="0.3">
      <c r="A260" s="21" t="e">
        <f>#REF!</f>
        <v>#REF!</v>
      </c>
      <c r="B260" s="87" t="s">
        <v>25</v>
      </c>
      <c r="C260" s="21" t="s">
        <v>11</v>
      </c>
      <c r="D260" s="64">
        <f t="shared" si="41"/>
        <v>0</v>
      </c>
      <c r="E260" s="64">
        <f t="shared" si="41"/>
        <v>0</v>
      </c>
      <c r="F260" s="64">
        <f t="shared" si="41"/>
        <v>1.325990909090909</v>
      </c>
      <c r="G260" s="64">
        <f t="shared" si="41"/>
        <v>3.2474668462017431</v>
      </c>
      <c r="H260" s="64">
        <f t="shared" si="41"/>
        <v>1.3931191988636362</v>
      </c>
      <c r="I260" s="34"/>
      <c r="J260" s="34"/>
      <c r="K260" s="34"/>
      <c r="L260" s="34"/>
      <c r="M260" s="34"/>
      <c r="N260" s="34"/>
    </row>
    <row r="261" spans="1:14" s="21" customFormat="1" hidden="1" x14ac:dyDescent="0.3">
      <c r="A261" s="24" t="str">
        <f>Dist2</f>
        <v>blank</v>
      </c>
      <c r="D261" s="25"/>
      <c r="E261" s="25"/>
      <c r="F261" s="25"/>
      <c r="G261" s="25"/>
      <c r="H261" s="25"/>
      <c r="I261" s="28"/>
      <c r="J261" s="34"/>
      <c r="K261" s="34"/>
      <c r="L261" s="34"/>
      <c r="M261" s="34"/>
      <c r="N261" s="34"/>
    </row>
    <row r="262" spans="1:14" s="21" customFormat="1" hidden="1" x14ac:dyDescent="0.3">
      <c r="A262" s="21" t="str">
        <f ca="1">'Calc (Jurisdiction)'!$B$2</f>
        <v>Calc (Jurisdiction)</v>
      </c>
      <c r="B262" s="87" t="s">
        <v>25</v>
      </c>
      <c r="C262" s="21" t="s">
        <v>11</v>
      </c>
      <c r="D262" s="64">
        <f t="shared" ref="D262:H266" si="42">D$367+D455</f>
        <v>0</v>
      </c>
      <c r="E262" s="64">
        <f t="shared" si="42"/>
        <v>0</v>
      </c>
      <c r="F262" s="64">
        <f t="shared" si="42"/>
        <v>0</v>
      </c>
      <c r="G262" s="64">
        <f t="shared" si="42"/>
        <v>0</v>
      </c>
      <c r="H262" s="64">
        <f t="shared" si="42"/>
        <v>0</v>
      </c>
      <c r="I262" s="28"/>
      <c r="J262" s="34"/>
      <c r="K262" s="34"/>
      <c r="L262" s="34"/>
      <c r="M262" s="34"/>
      <c r="N262" s="34"/>
    </row>
    <row r="263" spans="1:14" s="21" customFormat="1" ht="12" hidden="1" customHeight="1" x14ac:dyDescent="0.3">
      <c r="A263" s="21" t="e">
        <f>#REF!</f>
        <v>#REF!</v>
      </c>
      <c r="B263" s="87" t="s">
        <v>25</v>
      </c>
      <c r="C263" s="21" t="s">
        <v>11</v>
      </c>
      <c r="D263" s="64">
        <f t="shared" si="42"/>
        <v>0</v>
      </c>
      <c r="E263" s="64">
        <f t="shared" si="42"/>
        <v>0</v>
      </c>
      <c r="F263" s="64">
        <f t="shared" si="42"/>
        <v>0</v>
      </c>
      <c r="G263" s="64">
        <f t="shared" si="42"/>
        <v>0</v>
      </c>
      <c r="H263" s="64">
        <f t="shared" si="42"/>
        <v>0</v>
      </c>
      <c r="I263" s="34"/>
      <c r="J263" s="34"/>
      <c r="K263" s="34"/>
      <c r="L263" s="34"/>
      <c r="M263" s="34"/>
      <c r="N263" s="28"/>
    </row>
    <row r="264" spans="1:14" s="21" customFormat="1" hidden="1" x14ac:dyDescent="0.3">
      <c r="A264" s="21" t="e">
        <f>#REF!</f>
        <v>#REF!</v>
      </c>
      <c r="B264" s="87" t="s">
        <v>25</v>
      </c>
      <c r="C264" s="21" t="s">
        <v>11</v>
      </c>
      <c r="D264" s="64">
        <f t="shared" si="42"/>
        <v>0</v>
      </c>
      <c r="E264" s="64">
        <f t="shared" si="42"/>
        <v>0</v>
      </c>
      <c r="F264" s="64">
        <f t="shared" si="42"/>
        <v>0</v>
      </c>
      <c r="G264" s="64">
        <f t="shared" si="42"/>
        <v>0</v>
      </c>
      <c r="H264" s="64">
        <f t="shared" si="42"/>
        <v>0</v>
      </c>
      <c r="J264" s="27"/>
      <c r="K264" s="27"/>
      <c r="L264" s="27"/>
      <c r="M264" s="27"/>
      <c r="N264" s="27"/>
    </row>
    <row r="265" spans="1:14" s="21" customFormat="1" hidden="1" x14ac:dyDescent="0.3">
      <c r="A265" s="21" t="e">
        <f>#REF!</f>
        <v>#REF!</v>
      </c>
      <c r="B265" s="87" t="s">
        <v>25</v>
      </c>
      <c r="C265" s="21" t="s">
        <v>11</v>
      </c>
      <c r="D265" s="64">
        <f t="shared" si="42"/>
        <v>0</v>
      </c>
      <c r="E265" s="64">
        <f t="shared" si="42"/>
        <v>0</v>
      </c>
      <c r="F265" s="64">
        <f t="shared" si="42"/>
        <v>0</v>
      </c>
      <c r="G265" s="64">
        <f t="shared" si="42"/>
        <v>0</v>
      </c>
      <c r="H265" s="64">
        <f t="shared" si="42"/>
        <v>0</v>
      </c>
    </row>
    <row r="266" spans="1:14" s="21" customFormat="1" hidden="1" x14ac:dyDescent="0.3">
      <c r="A266" s="21" t="e">
        <f>#REF!</f>
        <v>#REF!</v>
      </c>
      <c r="B266" s="87" t="s">
        <v>25</v>
      </c>
      <c r="C266" s="21" t="s">
        <v>11</v>
      </c>
      <c r="D266" s="64">
        <f t="shared" si="42"/>
        <v>0</v>
      </c>
      <c r="E266" s="64">
        <f t="shared" si="42"/>
        <v>0</v>
      </c>
      <c r="F266" s="64">
        <f t="shared" si="42"/>
        <v>0</v>
      </c>
      <c r="G266" s="64">
        <f t="shared" si="42"/>
        <v>0</v>
      </c>
      <c r="H266" s="64">
        <f t="shared" si="42"/>
        <v>0</v>
      </c>
    </row>
    <row r="267" spans="1:14" s="21" customFormat="1" hidden="1" x14ac:dyDescent="0.3">
      <c r="A267" s="24" t="str">
        <f>Dist3</f>
        <v>blank</v>
      </c>
      <c r="D267" s="25"/>
      <c r="E267" s="25"/>
      <c r="F267" s="25"/>
      <c r="G267" s="25"/>
      <c r="H267" s="25"/>
    </row>
    <row r="268" spans="1:14" s="21" customFormat="1" hidden="1" x14ac:dyDescent="0.3">
      <c r="A268" s="21" t="str">
        <f ca="1">'Calc (Jurisdiction)'!$B$2</f>
        <v>Calc (Jurisdiction)</v>
      </c>
      <c r="B268" s="87" t="s">
        <v>25</v>
      </c>
      <c r="C268" s="21" t="s">
        <v>11</v>
      </c>
      <c r="D268" s="64">
        <f t="shared" ref="D268:H272" si="43">D$378+D462</f>
        <v>0</v>
      </c>
      <c r="E268" s="64">
        <f t="shared" si="43"/>
        <v>0</v>
      </c>
      <c r="F268" s="64">
        <f t="shared" si="43"/>
        <v>0</v>
      </c>
      <c r="G268" s="64">
        <f t="shared" si="43"/>
        <v>0</v>
      </c>
      <c r="H268" s="64">
        <f t="shared" si="43"/>
        <v>0</v>
      </c>
    </row>
    <row r="269" spans="1:14" s="21" customFormat="1" hidden="1" x14ac:dyDescent="0.3">
      <c r="A269" s="21" t="e">
        <f>#REF!</f>
        <v>#REF!</v>
      </c>
      <c r="B269" s="87" t="s">
        <v>25</v>
      </c>
      <c r="C269" s="21" t="s">
        <v>11</v>
      </c>
      <c r="D269" s="64">
        <f t="shared" si="43"/>
        <v>0</v>
      </c>
      <c r="E269" s="64">
        <f t="shared" si="43"/>
        <v>0</v>
      </c>
      <c r="F269" s="64">
        <f t="shared" si="43"/>
        <v>0</v>
      </c>
      <c r="G269" s="64">
        <f t="shared" si="43"/>
        <v>0</v>
      </c>
      <c r="H269" s="64">
        <f t="shared" si="43"/>
        <v>0</v>
      </c>
    </row>
    <row r="270" spans="1:14" s="21" customFormat="1" hidden="1" x14ac:dyDescent="0.3">
      <c r="A270" s="21" t="e">
        <f>#REF!</f>
        <v>#REF!</v>
      </c>
      <c r="B270" s="87" t="s">
        <v>25</v>
      </c>
      <c r="C270" s="21" t="s">
        <v>11</v>
      </c>
      <c r="D270" s="64">
        <f t="shared" si="43"/>
        <v>0</v>
      </c>
      <c r="E270" s="64">
        <f t="shared" si="43"/>
        <v>0</v>
      </c>
      <c r="F270" s="64">
        <f t="shared" si="43"/>
        <v>0</v>
      </c>
      <c r="G270" s="64">
        <f t="shared" si="43"/>
        <v>0</v>
      </c>
      <c r="H270" s="64">
        <f t="shared" si="43"/>
        <v>0</v>
      </c>
    </row>
    <row r="271" spans="1:14" s="21" customFormat="1" hidden="1" x14ac:dyDescent="0.3">
      <c r="A271" s="21" t="e">
        <f>#REF!</f>
        <v>#REF!</v>
      </c>
      <c r="B271" s="87" t="s">
        <v>25</v>
      </c>
      <c r="C271" s="21" t="s">
        <v>11</v>
      </c>
      <c r="D271" s="64">
        <f t="shared" si="43"/>
        <v>0</v>
      </c>
      <c r="E271" s="64">
        <f t="shared" si="43"/>
        <v>0</v>
      </c>
      <c r="F271" s="64">
        <f t="shared" si="43"/>
        <v>0</v>
      </c>
      <c r="G271" s="64">
        <f t="shared" si="43"/>
        <v>0</v>
      </c>
      <c r="H271" s="64">
        <f t="shared" si="43"/>
        <v>0</v>
      </c>
    </row>
    <row r="272" spans="1:14" s="21" customFormat="1" hidden="1" x14ac:dyDescent="0.3">
      <c r="A272" s="21" t="e">
        <f>#REF!</f>
        <v>#REF!</v>
      </c>
      <c r="B272" s="87" t="s">
        <v>25</v>
      </c>
      <c r="C272" s="21" t="s">
        <v>11</v>
      </c>
      <c r="D272" s="64">
        <f t="shared" si="43"/>
        <v>0</v>
      </c>
      <c r="E272" s="64">
        <f t="shared" si="43"/>
        <v>0</v>
      </c>
      <c r="F272" s="64">
        <f t="shared" si="43"/>
        <v>0</v>
      </c>
      <c r="G272" s="64">
        <f t="shared" si="43"/>
        <v>0</v>
      </c>
      <c r="H272" s="64">
        <f t="shared" si="43"/>
        <v>0</v>
      </c>
    </row>
    <row r="273" spans="1:14" s="21" customFormat="1" hidden="1" x14ac:dyDescent="0.3">
      <c r="A273" s="24" t="str">
        <f>Dist4</f>
        <v>blank</v>
      </c>
      <c r="D273" s="25"/>
      <c r="E273" s="25"/>
      <c r="F273" s="25"/>
      <c r="G273" s="25"/>
      <c r="H273" s="25"/>
    </row>
    <row r="274" spans="1:14" s="21" customFormat="1" hidden="1" x14ac:dyDescent="0.3">
      <c r="A274" s="21" t="str">
        <f ca="1">'Calc (Jurisdiction)'!$B$2</f>
        <v>Calc (Jurisdiction)</v>
      </c>
      <c r="B274" s="87" t="s">
        <v>25</v>
      </c>
      <c r="C274" s="21" t="s">
        <v>11</v>
      </c>
      <c r="D274" s="64">
        <f t="shared" ref="D274:H278" si="44">D$389+D469</f>
        <v>0</v>
      </c>
      <c r="E274" s="64">
        <f t="shared" si="44"/>
        <v>0</v>
      </c>
      <c r="F274" s="64">
        <f t="shared" si="44"/>
        <v>0</v>
      </c>
      <c r="G274" s="64">
        <f t="shared" si="44"/>
        <v>0</v>
      </c>
      <c r="H274" s="64">
        <f t="shared" si="44"/>
        <v>0</v>
      </c>
    </row>
    <row r="275" spans="1:14" s="21" customFormat="1" hidden="1" x14ac:dyDescent="0.3">
      <c r="A275" s="21" t="e">
        <f>#REF!</f>
        <v>#REF!</v>
      </c>
      <c r="B275" s="87" t="s">
        <v>25</v>
      </c>
      <c r="C275" s="21" t="s">
        <v>11</v>
      </c>
      <c r="D275" s="64">
        <f t="shared" si="44"/>
        <v>0</v>
      </c>
      <c r="E275" s="64">
        <f t="shared" si="44"/>
        <v>0</v>
      </c>
      <c r="F275" s="64">
        <f t="shared" si="44"/>
        <v>0</v>
      </c>
      <c r="G275" s="64">
        <f t="shared" si="44"/>
        <v>0</v>
      </c>
      <c r="H275" s="64">
        <f t="shared" si="44"/>
        <v>0</v>
      </c>
    </row>
    <row r="276" spans="1:14" s="21" customFormat="1" hidden="1" x14ac:dyDescent="0.3">
      <c r="A276" s="21" t="e">
        <f>#REF!</f>
        <v>#REF!</v>
      </c>
      <c r="B276" s="87" t="s">
        <v>25</v>
      </c>
      <c r="C276" s="21" t="s">
        <v>11</v>
      </c>
      <c r="D276" s="64">
        <f t="shared" si="44"/>
        <v>0</v>
      </c>
      <c r="E276" s="64">
        <f t="shared" si="44"/>
        <v>0</v>
      </c>
      <c r="F276" s="64">
        <f t="shared" si="44"/>
        <v>0</v>
      </c>
      <c r="G276" s="64">
        <f t="shared" si="44"/>
        <v>0</v>
      </c>
      <c r="H276" s="64">
        <f t="shared" si="44"/>
        <v>0</v>
      </c>
    </row>
    <row r="277" spans="1:14" s="21" customFormat="1" hidden="1" x14ac:dyDescent="0.3">
      <c r="A277" s="21" t="e">
        <f>#REF!</f>
        <v>#REF!</v>
      </c>
      <c r="B277" s="87" t="s">
        <v>25</v>
      </c>
      <c r="C277" s="21" t="s">
        <v>11</v>
      </c>
      <c r="D277" s="64">
        <f t="shared" si="44"/>
        <v>0</v>
      </c>
      <c r="E277" s="64">
        <f t="shared" si="44"/>
        <v>0</v>
      </c>
      <c r="F277" s="64">
        <f t="shared" si="44"/>
        <v>0</v>
      </c>
      <c r="G277" s="64">
        <f t="shared" si="44"/>
        <v>0</v>
      </c>
      <c r="H277" s="64">
        <f t="shared" si="44"/>
        <v>0</v>
      </c>
    </row>
    <row r="278" spans="1:14" s="21" customFormat="1" hidden="1" x14ac:dyDescent="0.3">
      <c r="A278" s="21" t="e">
        <f>#REF!</f>
        <v>#REF!</v>
      </c>
      <c r="B278" s="87" t="s">
        <v>25</v>
      </c>
      <c r="C278" s="21" t="s">
        <v>11</v>
      </c>
      <c r="D278" s="64">
        <f t="shared" si="44"/>
        <v>0</v>
      </c>
      <c r="E278" s="64">
        <f t="shared" si="44"/>
        <v>0</v>
      </c>
      <c r="F278" s="64">
        <f t="shared" si="44"/>
        <v>0</v>
      </c>
      <c r="G278" s="64">
        <f t="shared" si="44"/>
        <v>0</v>
      </c>
      <c r="H278" s="64">
        <f t="shared" si="44"/>
        <v>0</v>
      </c>
    </row>
    <row r="279" spans="1:14" s="21" customFormat="1" hidden="1" x14ac:dyDescent="0.3">
      <c r="A279" s="24" t="str">
        <f>Dist5</f>
        <v>blank</v>
      </c>
      <c r="D279" s="25"/>
      <c r="E279" s="25"/>
      <c r="F279" s="25"/>
      <c r="G279" s="25"/>
      <c r="H279" s="25"/>
    </row>
    <row r="280" spans="1:14" s="21" customFormat="1" hidden="1" x14ac:dyDescent="0.3">
      <c r="A280" s="21" t="str">
        <f ca="1">'Calc (Jurisdiction)'!$B$2</f>
        <v>Calc (Jurisdiction)</v>
      </c>
      <c r="B280" s="87" t="s">
        <v>25</v>
      </c>
      <c r="C280" s="21" t="s">
        <v>11</v>
      </c>
      <c r="D280" s="64">
        <f t="shared" ref="D280:H284" si="45">D$400+D476</f>
        <v>0</v>
      </c>
      <c r="E280" s="89">
        <f t="shared" si="45"/>
        <v>0</v>
      </c>
      <c r="F280" s="89">
        <f t="shared" si="45"/>
        <v>0</v>
      </c>
      <c r="G280" s="89">
        <f t="shared" si="45"/>
        <v>0</v>
      </c>
      <c r="H280" s="89">
        <f t="shared" si="45"/>
        <v>0</v>
      </c>
    </row>
    <row r="281" spans="1:14" s="21" customFormat="1" hidden="1" x14ac:dyDescent="0.3">
      <c r="A281" s="21" t="e">
        <f>#REF!</f>
        <v>#REF!</v>
      </c>
      <c r="B281" s="87" t="s">
        <v>25</v>
      </c>
      <c r="C281" s="21" t="s">
        <v>11</v>
      </c>
      <c r="D281" s="64">
        <f t="shared" si="45"/>
        <v>0</v>
      </c>
      <c r="E281" s="89">
        <f t="shared" si="45"/>
        <v>0</v>
      </c>
      <c r="F281" s="89">
        <f t="shared" si="45"/>
        <v>0</v>
      </c>
      <c r="G281" s="89">
        <f t="shared" si="45"/>
        <v>0</v>
      </c>
      <c r="H281" s="89">
        <f t="shared" si="45"/>
        <v>0</v>
      </c>
    </row>
    <row r="282" spans="1:14" s="21" customFormat="1" hidden="1" x14ac:dyDescent="0.3">
      <c r="A282" s="21" t="e">
        <f>#REF!</f>
        <v>#REF!</v>
      </c>
      <c r="B282" s="87" t="s">
        <v>25</v>
      </c>
      <c r="C282" s="21" t="s">
        <v>11</v>
      </c>
      <c r="D282" s="64">
        <f t="shared" si="45"/>
        <v>0</v>
      </c>
      <c r="E282" s="89">
        <f t="shared" si="45"/>
        <v>0</v>
      </c>
      <c r="F282" s="89">
        <f t="shared" si="45"/>
        <v>0</v>
      </c>
      <c r="G282" s="89">
        <f t="shared" si="45"/>
        <v>0</v>
      </c>
      <c r="H282" s="89">
        <f t="shared" si="45"/>
        <v>0</v>
      </c>
    </row>
    <row r="283" spans="1:14" s="21" customFormat="1" hidden="1" x14ac:dyDescent="0.3">
      <c r="A283" s="21" t="e">
        <f>#REF!</f>
        <v>#REF!</v>
      </c>
      <c r="B283" s="87" t="s">
        <v>25</v>
      </c>
      <c r="C283" s="21" t="s">
        <v>11</v>
      </c>
      <c r="D283" s="64">
        <f t="shared" si="45"/>
        <v>0</v>
      </c>
      <c r="E283" s="89">
        <f t="shared" si="45"/>
        <v>0</v>
      </c>
      <c r="F283" s="89">
        <f t="shared" si="45"/>
        <v>0</v>
      </c>
      <c r="G283" s="89">
        <f t="shared" si="45"/>
        <v>0</v>
      </c>
      <c r="H283" s="89">
        <f t="shared" si="45"/>
        <v>0</v>
      </c>
    </row>
    <row r="284" spans="1:14" s="21" customFormat="1" hidden="1" x14ac:dyDescent="0.3">
      <c r="A284" s="21" t="e">
        <f>#REF!</f>
        <v>#REF!</v>
      </c>
      <c r="B284" s="87" t="s">
        <v>25</v>
      </c>
      <c r="C284" s="21" t="s">
        <v>11</v>
      </c>
      <c r="D284" s="64">
        <f t="shared" si="45"/>
        <v>0</v>
      </c>
      <c r="E284" s="89">
        <f t="shared" si="45"/>
        <v>0</v>
      </c>
      <c r="F284" s="89">
        <f t="shared" si="45"/>
        <v>0</v>
      </c>
      <c r="G284" s="89">
        <f t="shared" si="45"/>
        <v>0</v>
      </c>
      <c r="H284" s="89">
        <f t="shared" si="45"/>
        <v>0</v>
      </c>
    </row>
    <row r="285" spans="1:14" s="21" customFormat="1" x14ac:dyDescent="0.3">
      <c r="D285" s="25"/>
      <c r="E285" s="25"/>
      <c r="F285" s="25"/>
      <c r="G285" s="25"/>
      <c r="H285" s="25"/>
    </row>
    <row r="286" spans="1:14" s="21" customFormat="1" x14ac:dyDescent="0.3">
      <c r="A286" s="8" t="s">
        <v>78</v>
      </c>
      <c r="D286" s="25"/>
      <c r="E286" s="25"/>
      <c r="F286" s="25"/>
      <c r="G286" s="25"/>
      <c r="H286" s="25"/>
    </row>
    <row r="287" spans="1:14" s="21" customFormat="1" x14ac:dyDescent="0.3">
      <c r="A287" s="24" t="str">
        <f>Dist1</f>
        <v>Northern Territory</v>
      </c>
      <c r="D287" s="25"/>
      <c r="E287" s="25"/>
      <c r="F287" s="25"/>
      <c r="G287" s="25"/>
      <c r="H287" s="25"/>
    </row>
    <row r="288" spans="1:14" s="21" customFormat="1" x14ac:dyDescent="0.3">
      <c r="A288" s="21" t="str">
        <f ca="1">'Calc (Jurisdiction)'!$B$2</f>
        <v>Calc (Jurisdiction)</v>
      </c>
      <c r="B288" s="87" t="s">
        <v>25</v>
      </c>
      <c r="C288" s="21" t="s">
        <v>11</v>
      </c>
      <c r="D288" s="64">
        <f ca="1">IF(LEFT($A288,5)="blank",0,D$353+D$354+D$355+D$409+(VLOOKUP($A288,Dist1Frontier,COLUMN(D288),FALSE))-IF('Input Global'!D$64="yes",D256,0))</f>
        <v>0</v>
      </c>
      <c r="E288" s="89">
        <f ca="1">IF(LEFT($A288,5)="blank",0,E$353+E$354+E$355+E$409+(VLOOKUP($A288,Dist1Frontier,COLUMN(E288),FALSE))-IF('Input Global'!E$64="yes",E256,0))</f>
        <v>13.838999999999999</v>
      </c>
      <c r="F288" s="89">
        <f ca="1">IF(LEFT($A288,5)="blank",0,F$353+F$354+F$355+F$409+(VLOOKUP($A288,Dist1Frontier,COLUMN(F288),FALSE))-IF('Input Global'!F$64="yes",F256,0))</f>
        <v>14.249454545454544</v>
      </c>
      <c r="G288" s="89">
        <f ca="1">IF(LEFT($A288,5)="blank",0,G$353+G$354+G$355+G$409+(VLOOKUP($A288,Dist1Frontier,COLUMN(G288),FALSE))-IF('Input Global'!G$64="yes",G256,0))</f>
        <v>20.292460273972601</v>
      </c>
      <c r="H288" s="89">
        <f ca="1">IF(LEFT($A288,5)="blank",0,H$353+H$354+H$355+H$409+(VLOOKUP($A288,Dist1Frontier,COLUMN(H288),FALSE))-IF('Input Global'!H$64="yes",H256,0))</f>
        <v>20.799771780821914</v>
      </c>
      <c r="J288" s="35"/>
      <c r="K288" s="35"/>
      <c r="L288" s="35"/>
      <c r="M288" s="35"/>
      <c r="N288" s="35"/>
    </row>
    <row r="289" spans="1:8" s="21" customFormat="1" hidden="1" x14ac:dyDescent="0.3">
      <c r="A289" s="21" t="e">
        <f>#REF!</f>
        <v>#REF!</v>
      </c>
      <c r="B289" s="87" t="s">
        <v>25</v>
      </c>
      <c r="C289" s="21" t="s">
        <v>11</v>
      </c>
      <c r="D289" s="89" t="e">
        <f>IF(LEFT($A289,5)="blank",0,D$353+D$354+D$355+D$409+(VLOOKUP($A289,Dist1Frontier,COLUMN(D289),FALSE))-IF('Input Global'!D$64="yes",D257,0))</f>
        <v>#REF!</v>
      </c>
      <c r="E289" s="89" t="e">
        <f>IF(LEFT($A289,5)="blank",0,E$353+E$354+E$355+E$409+(VLOOKUP($A289,Dist1Frontier,COLUMN(E289),FALSE))-IF('Input Global'!E$64="yes",E257,0))</f>
        <v>#REF!</v>
      </c>
      <c r="F289" s="89" t="e">
        <f>IF(LEFT($A289,5)="blank",0,F$353+F$354+F$355+F$409+(VLOOKUP($A289,Dist1Frontier,COLUMN(F289),FALSE))-IF('Input Global'!F$64="yes",F257,0))</f>
        <v>#REF!</v>
      </c>
      <c r="G289" s="89" t="e">
        <f>IF(LEFT($A289,5)="blank",0,G$353+G$354+G$355+G$409+(VLOOKUP($A289,Dist1Frontier,COLUMN(G289),FALSE))-IF('Input Global'!G$64="yes",G257,0))</f>
        <v>#REF!</v>
      </c>
      <c r="H289" s="89" t="e">
        <f>IF(LEFT($A289,5)="blank",0,H$353+H$354+H$355+H$409+(VLOOKUP($A289,Dist1Frontier,COLUMN(H289),FALSE))-IF('Input Global'!H$64="yes",H257,0))</f>
        <v>#REF!</v>
      </c>
    </row>
    <row r="290" spans="1:8" s="21" customFormat="1" hidden="1" x14ac:dyDescent="0.3">
      <c r="A290" s="21" t="e">
        <f>#REF!</f>
        <v>#REF!</v>
      </c>
      <c r="B290" s="87" t="s">
        <v>25</v>
      </c>
      <c r="C290" s="21" t="s">
        <v>11</v>
      </c>
      <c r="D290" s="89" t="e">
        <f>IF(LEFT($A290,5)="blank",0,D$353+D$354+D$355+D$409+(VLOOKUP($A290,Dist1Frontier,COLUMN(D290),FALSE))-IF('Input Global'!D$64="yes",D258,0))</f>
        <v>#REF!</v>
      </c>
      <c r="E290" s="89" t="e">
        <f>IF(LEFT($A290,5)="blank",0,E$353+E$354+E$355+E$409+(VLOOKUP($A290,Dist1Frontier,COLUMN(E290),FALSE))-IF('Input Global'!E$64="yes",E258,0))</f>
        <v>#REF!</v>
      </c>
      <c r="F290" s="89" t="e">
        <f>IF(LEFT($A290,5)="blank",0,F$353+F$354+F$355+F$409+(VLOOKUP($A290,Dist1Frontier,COLUMN(F290),FALSE))-IF('Input Global'!F$64="yes",F258,0))</f>
        <v>#REF!</v>
      </c>
      <c r="G290" s="89" t="e">
        <f>IF(LEFT($A290,5)="blank",0,G$353+G$354+G$355+G$409+(VLOOKUP($A290,Dist1Frontier,COLUMN(G290),FALSE))-IF('Input Global'!G$64="yes",G258,0))</f>
        <v>#REF!</v>
      </c>
      <c r="H290" s="89" t="e">
        <f>IF(LEFT($A290,5)="blank",0,H$353+H$354+H$355+H$409+(VLOOKUP($A290,Dist1Frontier,COLUMN(H290),FALSE))-IF('Input Global'!H$64="yes",H258,0))</f>
        <v>#REF!</v>
      </c>
    </row>
    <row r="291" spans="1:8" s="21" customFormat="1" hidden="1" x14ac:dyDescent="0.3">
      <c r="A291" s="21" t="e">
        <f>#REF!</f>
        <v>#REF!</v>
      </c>
      <c r="B291" s="87" t="s">
        <v>25</v>
      </c>
      <c r="C291" s="21" t="s">
        <v>11</v>
      </c>
      <c r="D291" s="89" t="e">
        <f>IF(LEFT($A291,5)="blank",0,D$353+D$354+D$355+D$409+(VLOOKUP($A291,Dist1Frontier,COLUMN(D291),FALSE))-IF('Input Global'!D$64="yes",D259,0))</f>
        <v>#REF!</v>
      </c>
      <c r="E291" s="89" t="e">
        <f>IF(LEFT($A291,5)="blank",0,E$353+E$354+E$355+E$409+(VLOOKUP($A291,Dist1Frontier,COLUMN(E291),FALSE))-IF('Input Global'!E$64="yes",E259,0))</f>
        <v>#REF!</v>
      </c>
      <c r="F291" s="89" t="e">
        <f>IF(LEFT($A291,5)="blank",0,F$353+F$354+F$355+F$409+(VLOOKUP($A291,Dist1Frontier,COLUMN(F291),FALSE))-IF('Input Global'!F$64="yes",F259,0))</f>
        <v>#REF!</v>
      </c>
      <c r="G291" s="89" t="e">
        <f>IF(LEFT($A291,5)="blank",0,G$353+G$354+G$355+G$409+(VLOOKUP($A291,Dist1Frontier,COLUMN(G291),FALSE))-IF('Input Global'!G$64="yes",G259,0))</f>
        <v>#REF!</v>
      </c>
      <c r="H291" s="89" t="e">
        <f>IF(LEFT($A291,5)="blank",0,H$353+H$354+H$355+H$409+(VLOOKUP($A291,Dist1Frontier,COLUMN(H291),FALSE))-IF('Input Global'!H$64="yes",H259,0))</f>
        <v>#REF!</v>
      </c>
    </row>
    <row r="292" spans="1:8" s="21" customFormat="1" hidden="1" x14ac:dyDescent="0.3">
      <c r="A292" s="21" t="e">
        <f>#REF!</f>
        <v>#REF!</v>
      </c>
      <c r="B292" s="87" t="s">
        <v>25</v>
      </c>
      <c r="C292" s="21" t="s">
        <v>11</v>
      </c>
      <c r="D292" s="89" t="e">
        <f>IF(LEFT($A292,5)="blank",0,D$353+D$354+D$355+D$409+(VLOOKUP($A292,Dist1Frontier,COLUMN(D292),FALSE))-IF('Input Global'!D$64="yes",D260,0))</f>
        <v>#REF!</v>
      </c>
      <c r="E292" s="89" t="e">
        <f>IF(LEFT($A292,5)="blank",0,E$353+E$354+E$355+E$409+(VLOOKUP($A292,Dist1Frontier,COLUMN(E292),FALSE))-IF('Input Global'!E$64="yes",E260,0))</f>
        <v>#REF!</v>
      </c>
      <c r="F292" s="89" t="e">
        <f>IF(LEFT($A292,5)="blank",0,F$353+F$354+F$355+F$409+(VLOOKUP($A292,Dist1Frontier,COLUMN(F292),FALSE))-IF('Input Global'!F$64="yes",F260,0))</f>
        <v>#REF!</v>
      </c>
      <c r="G292" s="89" t="e">
        <f>IF(LEFT($A292,5)="blank",0,G$353+G$354+G$355+G$409+(VLOOKUP($A292,Dist1Frontier,COLUMN(G292),FALSE))-IF('Input Global'!G$64="yes",G260,0))</f>
        <v>#REF!</v>
      </c>
      <c r="H292" s="89" t="e">
        <f>IF(LEFT($A292,5)="blank",0,H$353+H$354+H$355+H$409+(VLOOKUP($A292,Dist1Frontier,COLUMN(H292),FALSE))-IF('Input Global'!H$64="yes",H260,0))</f>
        <v>#REF!</v>
      </c>
    </row>
    <row r="293" spans="1:8" s="21" customFormat="1" hidden="1" x14ac:dyDescent="0.3">
      <c r="A293" s="24" t="str">
        <f>Dist2</f>
        <v>blank</v>
      </c>
      <c r="D293" s="25"/>
      <c r="E293" s="25"/>
      <c r="F293" s="25"/>
      <c r="G293" s="25"/>
      <c r="H293" s="25"/>
    </row>
    <row r="294" spans="1:8" s="21" customFormat="1" hidden="1" x14ac:dyDescent="0.3">
      <c r="A294" s="21" t="str">
        <f ca="1">'Calc (Jurisdiction)'!$B$2</f>
        <v>Calc (Jurisdiction)</v>
      </c>
      <c r="B294" s="87" t="s">
        <v>25</v>
      </c>
      <c r="C294" s="21" t="s">
        <v>11</v>
      </c>
      <c r="D294" s="64">
        <f ca="1">IF(LEFT($A294,5)="blank",0,D$364+D$365+D$366+D$409+(VLOOKUP($A294,dist2frontier,COLUMN(D294),FALSE))-IF('Input Global'!D$64="yes",D262,0))</f>
        <v>0</v>
      </c>
      <c r="E294" s="89">
        <f ca="1">IF(LEFT($A294,5)="blank",0,E$364+E$365+E$366+E$409+(VLOOKUP($A294,dist2frontier,COLUMN(E294),FALSE))-IF('Input Global'!E$64="yes",E262,0))</f>
        <v>0</v>
      </c>
      <c r="F294" s="89">
        <f ca="1">IF(LEFT($A294,5)="blank",0,F$364+F$365+F$366+F$409+(VLOOKUP($A294,dist2frontier,COLUMN(F294),FALSE))-IF('Input Global'!F$64="yes",F262,0))</f>
        <v>0</v>
      </c>
      <c r="G294" s="89">
        <f ca="1">IF(LEFT($A294,5)="blank",0,G$364+G$365+G$366+G$409+(VLOOKUP($A294,dist2frontier,COLUMN(G294),FALSE))-IF('Input Global'!G$64="yes",G262,0))</f>
        <v>0</v>
      </c>
      <c r="H294" s="89">
        <f ca="1">IF(LEFT($A294,5)="blank",0,H$364+H$365+H$366+H$409+(VLOOKUP($A294,dist2frontier,COLUMN(H294),FALSE))-IF('Input Global'!H$64="yes",H262,0))</f>
        <v>0</v>
      </c>
    </row>
    <row r="295" spans="1:8" s="21" customFormat="1" hidden="1" x14ac:dyDescent="0.3">
      <c r="A295" s="21" t="e">
        <f>#REF!</f>
        <v>#REF!</v>
      </c>
      <c r="B295" s="87" t="s">
        <v>25</v>
      </c>
      <c r="C295" s="21" t="s">
        <v>11</v>
      </c>
      <c r="D295" s="89" t="e">
        <f>IF(LEFT($A295,5)="blank",0,D$364+D$365+D$366+D$409+(VLOOKUP($A295,dist2frontier,COLUMN(D295),FALSE))-IF('Input Global'!D$64="yes",D263,0))</f>
        <v>#REF!</v>
      </c>
      <c r="E295" s="89" t="e">
        <f>IF(LEFT($A295,5)="blank",0,E$364+E$365+E$366+E$409+(VLOOKUP($A295,dist2frontier,COLUMN(E295),FALSE))-IF('Input Global'!E$64="yes",E263,0))</f>
        <v>#REF!</v>
      </c>
      <c r="F295" s="89" t="e">
        <f>IF(LEFT($A295,5)="blank",0,F$364+F$365+F$366+F$409+(VLOOKUP($A295,dist2frontier,COLUMN(F295),FALSE))-IF('Input Global'!F$64="yes",F263,0))</f>
        <v>#REF!</v>
      </c>
      <c r="G295" s="89" t="e">
        <f>IF(LEFT($A295,5)="blank",0,G$364+G$365+G$366+G$409+(VLOOKUP($A295,dist2frontier,COLUMN(G295),FALSE))-IF('Input Global'!G$64="yes",G263,0))</f>
        <v>#REF!</v>
      </c>
      <c r="H295" s="89" t="e">
        <f>IF(LEFT($A295,5)="blank",0,H$364+H$365+H$366+H$409+(VLOOKUP($A295,dist2frontier,COLUMN(H295),FALSE))-IF('Input Global'!H$64="yes",H263,0))</f>
        <v>#REF!</v>
      </c>
    </row>
    <row r="296" spans="1:8" s="21" customFormat="1" hidden="1" x14ac:dyDescent="0.3">
      <c r="A296" s="21" t="e">
        <f>#REF!</f>
        <v>#REF!</v>
      </c>
      <c r="B296" s="87" t="s">
        <v>25</v>
      </c>
      <c r="C296" s="21" t="s">
        <v>11</v>
      </c>
      <c r="D296" s="89" t="e">
        <f>IF(LEFT($A296,5)="blank",0,D$364+D$365+D$366+D$409+(VLOOKUP($A296,dist2frontier,COLUMN(D296),FALSE))-IF('Input Global'!D$64="yes",D264,0))</f>
        <v>#REF!</v>
      </c>
      <c r="E296" s="89" t="e">
        <f>IF(LEFT($A296,5)="blank",0,E$364+E$365+E$366+E$409+(VLOOKUP($A296,dist2frontier,COLUMN(E296),FALSE))-IF('Input Global'!E$64="yes",E264,0))</f>
        <v>#REF!</v>
      </c>
      <c r="F296" s="89" t="e">
        <f>IF(LEFT($A296,5)="blank",0,F$364+F$365+F$366+F$409+(VLOOKUP($A296,dist2frontier,COLUMN(F296),FALSE))-IF('Input Global'!F$64="yes",F264,0))</f>
        <v>#REF!</v>
      </c>
      <c r="G296" s="89" t="e">
        <f>IF(LEFT($A296,5)="blank",0,G$364+G$365+G$366+G$409+(VLOOKUP($A296,dist2frontier,COLUMN(G296),FALSE))-IF('Input Global'!G$64="yes",G264,0))</f>
        <v>#REF!</v>
      </c>
      <c r="H296" s="89" t="e">
        <f>IF(LEFT($A296,5)="blank",0,H$364+H$365+H$366+H$409+(VLOOKUP($A296,dist2frontier,COLUMN(H296),FALSE))-IF('Input Global'!H$64="yes",H264,0))</f>
        <v>#REF!</v>
      </c>
    </row>
    <row r="297" spans="1:8" s="21" customFormat="1" hidden="1" x14ac:dyDescent="0.3">
      <c r="A297" s="21" t="e">
        <f>#REF!</f>
        <v>#REF!</v>
      </c>
      <c r="B297" s="87" t="s">
        <v>25</v>
      </c>
      <c r="C297" s="21" t="s">
        <v>11</v>
      </c>
      <c r="D297" s="89" t="e">
        <f>IF(LEFT($A297,5)="blank",0,D$364+D$365+D$366+D$409+(VLOOKUP($A297,dist2frontier,COLUMN(D297),FALSE))-IF('Input Global'!D$64="yes",D265,0))</f>
        <v>#REF!</v>
      </c>
      <c r="E297" s="89" t="e">
        <f>IF(LEFT($A297,5)="blank",0,E$364+E$365+E$366+E$409+(VLOOKUP($A297,dist2frontier,COLUMN(E297),FALSE))-IF('Input Global'!E$64="yes",E265,0))</f>
        <v>#REF!</v>
      </c>
      <c r="F297" s="89" t="e">
        <f>IF(LEFT($A297,5)="blank",0,F$364+F$365+F$366+F$409+(VLOOKUP($A297,dist2frontier,COLUMN(F297),FALSE))-IF('Input Global'!F$64="yes",F265,0))</f>
        <v>#REF!</v>
      </c>
      <c r="G297" s="89" t="e">
        <f>IF(LEFT($A297,5)="blank",0,G$364+G$365+G$366+G$409+(VLOOKUP($A297,dist2frontier,COLUMN(G297),FALSE))-IF('Input Global'!G$64="yes",G265,0))</f>
        <v>#REF!</v>
      </c>
      <c r="H297" s="89" t="e">
        <f>IF(LEFT($A297,5)="blank",0,H$364+H$365+H$366+H$409+(VLOOKUP($A297,dist2frontier,COLUMN(H297),FALSE))-IF('Input Global'!H$64="yes",H265,0))</f>
        <v>#REF!</v>
      </c>
    </row>
    <row r="298" spans="1:8" s="21" customFormat="1" hidden="1" x14ac:dyDescent="0.3">
      <c r="A298" s="21" t="e">
        <f>#REF!</f>
        <v>#REF!</v>
      </c>
      <c r="B298" s="87" t="s">
        <v>25</v>
      </c>
      <c r="C298" s="21" t="s">
        <v>11</v>
      </c>
      <c r="D298" s="89" t="e">
        <f>IF(LEFT($A298,5)="blank",0,D$364+D$365+D$366+D$409+(VLOOKUP($A298,dist2frontier,COLUMN(D298),FALSE))-IF('Input Global'!D$64="yes",D266,0))</f>
        <v>#REF!</v>
      </c>
      <c r="E298" s="89" t="e">
        <f>IF(LEFT($A298,5)="blank",0,E$364+E$365+E$366+E$409+(VLOOKUP($A298,dist2frontier,COLUMN(E298),FALSE))-IF('Input Global'!E$64="yes",E266,0))</f>
        <v>#REF!</v>
      </c>
      <c r="F298" s="89" t="e">
        <f>IF(LEFT($A298,5)="blank",0,F$364+F$365+F$366+F$409+(VLOOKUP($A298,dist2frontier,COLUMN(F298),FALSE))-IF('Input Global'!F$64="yes",F266,0))</f>
        <v>#REF!</v>
      </c>
      <c r="G298" s="89" t="e">
        <f>IF(LEFT($A298,5)="blank",0,G$364+G$365+G$366+G$409+(VLOOKUP($A298,dist2frontier,COLUMN(G298),FALSE))-IF('Input Global'!G$64="yes",G266,0))</f>
        <v>#REF!</v>
      </c>
      <c r="H298" s="89" t="e">
        <f>IF(LEFT($A298,5)="blank",0,H$364+H$365+H$366+H$409+(VLOOKUP($A298,dist2frontier,COLUMN(H298),FALSE))-IF('Input Global'!H$64="yes",H266,0))</f>
        <v>#REF!</v>
      </c>
    </row>
    <row r="299" spans="1:8" s="21" customFormat="1" hidden="1" x14ac:dyDescent="0.3">
      <c r="A299" s="24" t="str">
        <f>Dist3</f>
        <v>blank</v>
      </c>
      <c r="D299" s="25"/>
      <c r="E299" s="25"/>
      <c r="F299" s="25"/>
      <c r="G299" s="25"/>
      <c r="H299" s="25"/>
    </row>
    <row r="300" spans="1:8" s="21" customFormat="1" hidden="1" x14ac:dyDescent="0.3">
      <c r="A300" s="21" t="str">
        <f ca="1">'Calc (Jurisdiction)'!$B$2</f>
        <v>Calc (Jurisdiction)</v>
      </c>
      <c r="B300" s="87" t="s">
        <v>25</v>
      </c>
      <c r="C300" s="21" t="s">
        <v>11</v>
      </c>
      <c r="D300" s="64">
        <f ca="1">IF(LEFT($A300,5)="blank",0,D$375+D$376+D$377+D$409+(VLOOKUP($A300,dist3frontier,COLUMN(D300),FALSE))-IF('Input Global'!D$64="yes",D268,0))</f>
        <v>0</v>
      </c>
      <c r="E300" s="89">
        <f ca="1">IF(LEFT($A300,5)="blank",0,E$375+E$376+E$377+E$409+(VLOOKUP($A300,dist3frontier,COLUMN(E300),FALSE))-IF('Input Global'!E$64="yes",E268,0))</f>
        <v>0</v>
      </c>
      <c r="F300" s="89">
        <f ca="1">IF(LEFT($A300,5)="blank",0,F$375+F$376+F$377+F$409+(VLOOKUP($A300,dist3frontier,COLUMN(F300),FALSE))-IF('Input Global'!F$64="yes",F268,0))</f>
        <v>0</v>
      </c>
      <c r="G300" s="89">
        <f ca="1">IF(LEFT($A300,5)="blank",0,G$375+G$376+G$377+G$409+(VLOOKUP($A300,dist3frontier,COLUMN(G300),FALSE))-IF('Input Global'!G$64="yes",G268,0))</f>
        <v>0</v>
      </c>
      <c r="H300" s="89">
        <f ca="1">IF(LEFT($A300,5)="blank",0,H$375+H$376+H$377+H$409+(VLOOKUP($A300,dist3frontier,COLUMN(H300),FALSE))-IF('Input Global'!H$64="yes",H268,0))</f>
        <v>0</v>
      </c>
    </row>
    <row r="301" spans="1:8" s="21" customFormat="1" hidden="1" x14ac:dyDescent="0.3">
      <c r="A301" s="21" t="e">
        <f>#REF!</f>
        <v>#REF!</v>
      </c>
      <c r="B301" s="87" t="s">
        <v>25</v>
      </c>
      <c r="C301" s="21" t="s">
        <v>11</v>
      </c>
      <c r="D301" s="89" t="e">
        <f>IF(LEFT($A301,5)="blank",0,D$375+D$376+D$377+D$409+(VLOOKUP($A301,dist3frontier,COLUMN(D301),FALSE))-IF('Input Global'!D$64="yes",D269,0))</f>
        <v>#REF!</v>
      </c>
      <c r="E301" s="89" t="e">
        <f>IF(LEFT($A301,5)="blank",0,E$375+E$376+E$377+E$409+(VLOOKUP($A301,dist3frontier,COLUMN(E301),FALSE))-IF('Input Global'!E$64="yes",E269,0))</f>
        <v>#REF!</v>
      </c>
      <c r="F301" s="89" t="e">
        <f>IF(LEFT($A301,5)="blank",0,F$375+F$376+F$377+F$409+(VLOOKUP($A301,dist3frontier,COLUMN(F301),FALSE))-IF('Input Global'!F$64="yes",F269,0))</f>
        <v>#REF!</v>
      </c>
      <c r="G301" s="89" t="e">
        <f>IF(LEFT($A301,5)="blank",0,G$375+G$376+G$377+G$409+(VLOOKUP($A301,dist3frontier,COLUMN(G301),FALSE))-IF('Input Global'!G$64="yes",G269,0))</f>
        <v>#REF!</v>
      </c>
      <c r="H301" s="89" t="e">
        <f>IF(LEFT($A301,5)="blank",0,H$375+H$376+H$377+H$409+(VLOOKUP($A301,dist3frontier,COLUMN(H301),FALSE))-IF('Input Global'!H$64="yes",H269,0))</f>
        <v>#REF!</v>
      </c>
    </row>
    <row r="302" spans="1:8" s="21" customFormat="1" hidden="1" x14ac:dyDescent="0.3">
      <c r="A302" s="21" t="e">
        <f>#REF!</f>
        <v>#REF!</v>
      </c>
      <c r="B302" s="87" t="s">
        <v>25</v>
      </c>
      <c r="C302" s="21" t="s">
        <v>11</v>
      </c>
      <c r="D302" s="89" t="e">
        <f>IF(LEFT($A302,5)="blank",0,D$375+D$376+D$377+D$409+(VLOOKUP($A302,dist3frontier,COLUMN(D302),FALSE))-IF('Input Global'!D$64="yes",D270,0))</f>
        <v>#REF!</v>
      </c>
      <c r="E302" s="89" t="e">
        <f>IF(LEFT($A302,5)="blank",0,E$375+E$376+E$377+E$409+(VLOOKUP($A302,dist3frontier,COLUMN(E302),FALSE))-IF('Input Global'!E$64="yes",E270,0))</f>
        <v>#REF!</v>
      </c>
      <c r="F302" s="89" t="e">
        <f>IF(LEFT($A302,5)="blank",0,F$375+F$376+F$377+F$409+(VLOOKUP($A302,dist3frontier,COLUMN(F302),FALSE))-IF('Input Global'!F$64="yes",F270,0))</f>
        <v>#REF!</v>
      </c>
      <c r="G302" s="89" t="e">
        <f>IF(LEFT($A302,5)="blank",0,G$375+G$376+G$377+G$409+(VLOOKUP($A302,dist3frontier,COLUMN(G302),FALSE))-IF('Input Global'!G$64="yes",G270,0))</f>
        <v>#REF!</v>
      </c>
      <c r="H302" s="89" t="e">
        <f>IF(LEFT($A302,5)="blank",0,H$375+H$376+H$377+H$409+(VLOOKUP($A302,dist3frontier,COLUMN(H302),FALSE))-IF('Input Global'!H$64="yes",H270,0))</f>
        <v>#REF!</v>
      </c>
    </row>
    <row r="303" spans="1:8" s="21" customFormat="1" hidden="1" x14ac:dyDescent="0.3">
      <c r="A303" s="21" t="e">
        <f>#REF!</f>
        <v>#REF!</v>
      </c>
      <c r="B303" s="87" t="s">
        <v>25</v>
      </c>
      <c r="C303" s="21" t="s">
        <v>11</v>
      </c>
      <c r="D303" s="89" t="e">
        <f>IF(LEFT($A303,5)="blank",0,D$375+D$376+D$377+D$409+(VLOOKUP($A303,dist3frontier,COLUMN(D303),FALSE))-IF('Input Global'!D$64="yes",D271,0))</f>
        <v>#REF!</v>
      </c>
      <c r="E303" s="89" t="e">
        <f>IF(LEFT($A303,5)="blank",0,E$375+E$376+E$377+E$409+(VLOOKUP($A303,dist3frontier,COLUMN(E303),FALSE))-IF('Input Global'!E$64="yes",E271,0))</f>
        <v>#REF!</v>
      </c>
      <c r="F303" s="89" t="e">
        <f>IF(LEFT($A303,5)="blank",0,F$375+F$376+F$377+F$409+(VLOOKUP($A303,dist3frontier,COLUMN(F303),FALSE))-IF('Input Global'!F$64="yes",F271,0))</f>
        <v>#REF!</v>
      </c>
      <c r="G303" s="89" t="e">
        <f>IF(LEFT($A303,5)="blank",0,G$375+G$376+G$377+G$409+(VLOOKUP($A303,dist3frontier,COLUMN(G303),FALSE))-IF('Input Global'!G$64="yes",G271,0))</f>
        <v>#REF!</v>
      </c>
      <c r="H303" s="89" t="e">
        <f>IF(LEFT($A303,5)="blank",0,H$375+H$376+H$377+H$409+(VLOOKUP($A303,dist3frontier,COLUMN(H303),FALSE))-IF('Input Global'!H$64="yes",H271,0))</f>
        <v>#REF!</v>
      </c>
    </row>
    <row r="304" spans="1:8" s="21" customFormat="1" hidden="1" x14ac:dyDescent="0.3">
      <c r="A304" s="21" t="e">
        <f>#REF!</f>
        <v>#REF!</v>
      </c>
      <c r="B304" s="87" t="s">
        <v>25</v>
      </c>
      <c r="C304" s="21" t="s">
        <v>11</v>
      </c>
      <c r="D304" s="89" t="e">
        <f>IF(LEFT($A304,5)="blank",0,D$375+D$376+D$377+D$409+(VLOOKUP($A304,dist3frontier,COLUMN(D304),FALSE))-IF('Input Global'!D$64="yes",D272,0))</f>
        <v>#REF!</v>
      </c>
      <c r="E304" s="89" t="e">
        <f>IF(LEFT($A304,5)="blank",0,E$375+E$376+E$377+E$409+(VLOOKUP($A304,dist3frontier,COLUMN(E304),FALSE))-IF('Input Global'!E$64="yes",E272,0))</f>
        <v>#REF!</v>
      </c>
      <c r="F304" s="89" t="e">
        <f>IF(LEFT($A304,5)="blank",0,F$375+F$376+F$377+F$409+(VLOOKUP($A304,dist3frontier,COLUMN(F304),FALSE))-IF('Input Global'!F$64="yes",F272,0))</f>
        <v>#REF!</v>
      </c>
      <c r="G304" s="89" t="e">
        <f>IF(LEFT($A304,5)="blank",0,G$375+G$376+G$377+G$409+(VLOOKUP($A304,dist3frontier,COLUMN(G304),FALSE))-IF('Input Global'!G$64="yes",G272,0))</f>
        <v>#REF!</v>
      </c>
      <c r="H304" s="89" t="e">
        <f>IF(LEFT($A304,5)="blank",0,H$375+H$376+H$377+H$409+(VLOOKUP($A304,dist3frontier,COLUMN(H304),FALSE))-IF('Input Global'!H$64="yes",H272,0))</f>
        <v>#REF!</v>
      </c>
    </row>
    <row r="305" spans="1:14" s="21" customFormat="1" hidden="1" x14ac:dyDescent="0.3">
      <c r="A305" s="24" t="str">
        <f>Dist4</f>
        <v>blank</v>
      </c>
      <c r="D305" s="25"/>
      <c r="E305" s="25"/>
      <c r="F305" s="25"/>
      <c r="G305" s="25"/>
      <c r="H305" s="25"/>
    </row>
    <row r="306" spans="1:14" s="21" customFormat="1" hidden="1" x14ac:dyDescent="0.3">
      <c r="A306" s="21" t="str">
        <f ca="1">'Calc (Jurisdiction)'!$B$2</f>
        <v>Calc (Jurisdiction)</v>
      </c>
      <c r="B306" s="87" t="s">
        <v>25</v>
      </c>
      <c r="C306" s="21" t="s">
        <v>11</v>
      </c>
      <c r="D306" s="64">
        <f ca="1">IF(LEFT($A306,5)="blank",0,D$386+D$387+D$388+D$409+(VLOOKUP($A306,Dist4frontier,COLUMN(D306),FALSE))-IF('Input Global'!D$64="yes",D274,0))</f>
        <v>0</v>
      </c>
      <c r="E306" s="89">
        <f ca="1">IF(LEFT($A306,5)="blank",0,E$386+E$387+E$388+E$409+(VLOOKUP($A306,Dist4frontier,COLUMN(E306),FALSE))-IF('Input Global'!E$64="yes",E274,0))</f>
        <v>0</v>
      </c>
      <c r="F306" s="89">
        <f ca="1">IF(LEFT($A306,5)="blank",0,F$386+F$387+F$388+F$409+(VLOOKUP($A306,Dist4frontier,COLUMN(F306),FALSE))-IF('Input Global'!F$64="yes",F274,0))</f>
        <v>0</v>
      </c>
      <c r="G306" s="89">
        <f ca="1">IF(LEFT($A306,5)="blank",0,G$386+G$387+G$388+G$409+(VLOOKUP($A306,Dist4frontier,COLUMN(G306),FALSE))-IF('Input Global'!G$64="yes",G274,0))</f>
        <v>0</v>
      </c>
      <c r="H306" s="89">
        <f ca="1">IF(LEFT($A306,5)="blank",0,H$386+H$387+H$388+H$409+(VLOOKUP($A306,Dist4frontier,COLUMN(H306),FALSE))-IF('Input Global'!H$64="yes",H274,0))</f>
        <v>0</v>
      </c>
    </row>
    <row r="307" spans="1:14" s="21" customFormat="1" hidden="1" x14ac:dyDescent="0.3">
      <c r="A307" s="21" t="e">
        <f>#REF!</f>
        <v>#REF!</v>
      </c>
      <c r="B307" s="87" t="s">
        <v>25</v>
      </c>
      <c r="C307" s="21" t="s">
        <v>11</v>
      </c>
      <c r="D307" s="89" t="e">
        <f>IF(LEFT($A307,5)="blank",0,D$386+D$387+D$388+D$409+(VLOOKUP($A307,Dist4frontier,COLUMN(D307),FALSE))-IF('Input Global'!D$64="yes",D275,0))</f>
        <v>#REF!</v>
      </c>
      <c r="E307" s="89" t="e">
        <f>IF(LEFT($A307,5)="blank",0,E$386+E$387+E$388+E$409+(VLOOKUP($A307,Dist4frontier,COLUMN(E307),FALSE))-IF('Input Global'!E$64="yes",E275,0))</f>
        <v>#REF!</v>
      </c>
      <c r="F307" s="89" t="e">
        <f>IF(LEFT($A307,5)="blank",0,F$386+F$387+F$388+F$409+(VLOOKUP($A307,Dist4frontier,COLUMN(F307),FALSE))-IF('Input Global'!F$64="yes",F275,0))</f>
        <v>#REF!</v>
      </c>
      <c r="G307" s="89" t="e">
        <f>IF(LEFT($A307,5)="blank",0,G$386+G$387+G$388+G$409+(VLOOKUP($A307,Dist4frontier,COLUMN(G307),FALSE))-IF('Input Global'!G$64="yes",G275,0))</f>
        <v>#REF!</v>
      </c>
      <c r="H307" s="89" t="e">
        <f>IF(LEFT($A307,5)="blank",0,H$386+H$387+H$388+H$409+(VLOOKUP($A307,Dist4frontier,COLUMN(H307),FALSE))-IF('Input Global'!H$64="yes",H275,0))</f>
        <v>#REF!</v>
      </c>
    </row>
    <row r="308" spans="1:14" s="21" customFormat="1" hidden="1" x14ac:dyDescent="0.3">
      <c r="A308" s="21" t="e">
        <f>#REF!</f>
        <v>#REF!</v>
      </c>
      <c r="B308" s="87" t="s">
        <v>25</v>
      </c>
      <c r="C308" s="21" t="s">
        <v>11</v>
      </c>
      <c r="D308" s="89" t="e">
        <f>IF(LEFT($A308,5)="blank",0,D$386+D$387+D$388+D$409+(VLOOKUP($A308,Dist4frontier,COLUMN(D308),FALSE))-IF('Input Global'!D$64="yes",D276,0))</f>
        <v>#REF!</v>
      </c>
      <c r="E308" s="89" t="e">
        <f>IF(LEFT($A308,5)="blank",0,E$386+E$387+E$388+E$409+(VLOOKUP($A308,Dist4frontier,COLUMN(E308),FALSE))-IF('Input Global'!E$64="yes",E276,0))</f>
        <v>#REF!</v>
      </c>
      <c r="F308" s="89" t="e">
        <f>IF(LEFT($A308,5)="blank",0,F$386+F$387+F$388+F$409+(VLOOKUP($A308,Dist4frontier,COLUMN(F308),FALSE))-IF('Input Global'!F$64="yes",F276,0))</f>
        <v>#REF!</v>
      </c>
      <c r="G308" s="89" t="e">
        <f>IF(LEFT($A308,5)="blank",0,G$386+G$387+G$388+G$409+(VLOOKUP($A308,Dist4frontier,COLUMN(G308),FALSE))-IF('Input Global'!G$64="yes",G276,0))</f>
        <v>#REF!</v>
      </c>
      <c r="H308" s="89" t="e">
        <f>IF(LEFT($A308,5)="blank",0,H$386+H$387+H$388+H$409+(VLOOKUP($A308,Dist4frontier,COLUMN(H308),FALSE))-IF('Input Global'!H$64="yes",H276,0))</f>
        <v>#REF!</v>
      </c>
    </row>
    <row r="309" spans="1:14" s="21" customFormat="1" hidden="1" x14ac:dyDescent="0.3">
      <c r="A309" s="21" t="e">
        <f>#REF!</f>
        <v>#REF!</v>
      </c>
      <c r="B309" s="87" t="s">
        <v>25</v>
      </c>
      <c r="C309" s="21" t="s">
        <v>11</v>
      </c>
      <c r="D309" s="89" t="e">
        <f>IF(LEFT($A309,5)="blank",0,D$386+D$387+D$388+D$409+(VLOOKUP($A309,Dist4frontier,COLUMN(D309),FALSE))-IF('Input Global'!D$64="yes",D277,0))</f>
        <v>#REF!</v>
      </c>
      <c r="E309" s="89" t="e">
        <f>IF(LEFT($A309,5)="blank",0,E$386+E$387+E$388+E$409+(VLOOKUP($A309,Dist4frontier,COLUMN(E309),FALSE))-IF('Input Global'!E$64="yes",E277,0))</f>
        <v>#REF!</v>
      </c>
      <c r="F309" s="89" t="e">
        <f>IF(LEFT($A309,5)="blank",0,F$386+F$387+F$388+F$409+(VLOOKUP($A309,Dist4frontier,COLUMN(F309),FALSE))-IF('Input Global'!F$64="yes",F277,0))</f>
        <v>#REF!</v>
      </c>
      <c r="G309" s="89" t="e">
        <f>IF(LEFT($A309,5)="blank",0,G$386+G$387+G$388+G$409+(VLOOKUP($A309,Dist4frontier,COLUMN(G309),FALSE))-IF('Input Global'!G$64="yes",G277,0))</f>
        <v>#REF!</v>
      </c>
      <c r="H309" s="89" t="e">
        <f>IF(LEFT($A309,5)="blank",0,H$386+H$387+H$388+H$409+(VLOOKUP($A309,Dist4frontier,COLUMN(H309),FALSE))-IF('Input Global'!H$64="yes",H277,0))</f>
        <v>#REF!</v>
      </c>
    </row>
    <row r="310" spans="1:14" s="21" customFormat="1" hidden="1" x14ac:dyDescent="0.3">
      <c r="A310" s="21" t="e">
        <f>#REF!</f>
        <v>#REF!</v>
      </c>
      <c r="B310" s="87" t="s">
        <v>25</v>
      </c>
      <c r="C310" s="21" t="s">
        <v>11</v>
      </c>
      <c r="D310" s="89" t="e">
        <f>IF(LEFT($A310,5)="blank",0,D$386+D$387+D$388+D$409+(VLOOKUP($A310,Dist4frontier,COLUMN(D310),FALSE))-IF('Input Global'!D$64="yes",D278,0))</f>
        <v>#REF!</v>
      </c>
      <c r="E310" s="89" t="e">
        <f>IF(LEFT($A310,5)="blank",0,E$386+E$387+E$388+E$409+(VLOOKUP($A310,Dist4frontier,COLUMN(E310),FALSE))-IF('Input Global'!E$64="yes",E278,0))</f>
        <v>#REF!</v>
      </c>
      <c r="F310" s="89" t="e">
        <f>IF(LEFT($A310,5)="blank",0,F$386+F$387+F$388+F$409+(VLOOKUP($A310,Dist4frontier,COLUMN(F310),FALSE))-IF('Input Global'!F$64="yes",F278,0))</f>
        <v>#REF!</v>
      </c>
      <c r="G310" s="89" t="e">
        <f>IF(LEFT($A310,5)="blank",0,G$386+G$387+G$388+G$409+(VLOOKUP($A310,Dist4frontier,COLUMN(G310),FALSE))-IF('Input Global'!G$64="yes",G278,0))</f>
        <v>#REF!</v>
      </c>
      <c r="H310" s="89" t="e">
        <f>IF(LEFT($A310,5)="blank",0,H$386+H$387+H$388+H$409+(VLOOKUP($A310,Dist4frontier,COLUMN(H310),FALSE))-IF('Input Global'!H$64="yes",H278,0))</f>
        <v>#REF!</v>
      </c>
    </row>
    <row r="311" spans="1:14" s="21" customFormat="1" hidden="1" x14ac:dyDescent="0.3">
      <c r="A311" s="24" t="str">
        <f>Dist5</f>
        <v>blank</v>
      </c>
      <c r="D311" s="25"/>
      <c r="E311" s="25"/>
      <c r="F311" s="25"/>
      <c r="G311" s="25"/>
      <c r="H311" s="25"/>
    </row>
    <row r="312" spans="1:14" s="21" customFormat="1" hidden="1" x14ac:dyDescent="0.3">
      <c r="A312" s="21" t="str">
        <f ca="1">'Calc (Jurisdiction)'!$B$2</f>
        <v>Calc (Jurisdiction)</v>
      </c>
      <c r="B312" s="87" t="s">
        <v>25</v>
      </c>
      <c r="C312" s="21" t="s">
        <v>11</v>
      </c>
      <c r="D312" s="64">
        <f ca="1">IF(LEFT($A312,5)="blank",0,D$397+D$398+D$399+D$409+(VLOOKUP($A312,dist5frontier,COLUMN(D312),FALSE))-IF('Input Global'!D$64="yes",D281,0))</f>
        <v>0</v>
      </c>
      <c r="E312" s="89">
        <f ca="1">IF(LEFT($A312,5)="blank",0,E$397+E$398+E$399+E$409+(VLOOKUP($A312,dist5frontier,COLUMN(E312),FALSE))-IF('Input Global'!E$64="yes",E281,0))</f>
        <v>0</v>
      </c>
      <c r="F312" s="89">
        <f ca="1">IF(LEFT($A312,5)="blank",0,F$397+F$398+F$399+F$409+(VLOOKUP($A312,dist5frontier,COLUMN(F312),FALSE))-IF('Input Global'!F$64="yes",F281,0))</f>
        <v>0</v>
      </c>
      <c r="G312" s="89">
        <f ca="1">IF(LEFT($A312,5)="blank",0,G$397+G$398+G$399+G$409+(VLOOKUP($A312,dist5frontier,COLUMN(G312),FALSE))-IF('Input Global'!G$64="yes",G281,0))</f>
        <v>0</v>
      </c>
      <c r="H312" s="89">
        <f ca="1">IF(LEFT($A312,5)="blank",0,H$397+H$398+H$399+H$409+(VLOOKUP($A312,dist5frontier,COLUMN(H312),FALSE))-IF('Input Global'!H$64="yes",H281,0))</f>
        <v>0</v>
      </c>
    </row>
    <row r="313" spans="1:14" s="21" customFormat="1" hidden="1" x14ac:dyDescent="0.3">
      <c r="A313" s="21" t="e">
        <f>#REF!</f>
        <v>#REF!</v>
      </c>
      <c r="B313" s="87" t="s">
        <v>25</v>
      </c>
      <c r="C313" s="21" t="s">
        <v>11</v>
      </c>
      <c r="D313" s="89" t="e">
        <f>IF(LEFT($A313,5)="blank",0,D$397+D$398+D$399+D$409+(VLOOKUP($A313,dist5frontier,COLUMN(D313),FALSE))-IF('Input Global'!D$64="yes",D282,0))</f>
        <v>#REF!</v>
      </c>
      <c r="E313" s="89" t="e">
        <f>IF(LEFT($A313,5)="blank",0,E$397+E$398+E$399+E$409+(VLOOKUP($A313,dist5frontier,COLUMN(E313),FALSE))-IF('Input Global'!E$64="yes",E282,0))</f>
        <v>#REF!</v>
      </c>
      <c r="F313" s="89" t="e">
        <f>IF(LEFT($A313,5)="blank",0,F$397+F$398+F$399+F$409+(VLOOKUP($A313,dist5frontier,COLUMN(F313),FALSE))-IF('Input Global'!F$64="yes",F282,0))</f>
        <v>#REF!</v>
      </c>
      <c r="G313" s="89" t="e">
        <f>IF(LEFT($A313,5)="blank",0,G$397+G$398+G$399+G$409+(VLOOKUP($A313,dist5frontier,COLUMN(G313),FALSE))-IF('Input Global'!G$64="yes",G282,0))</f>
        <v>#REF!</v>
      </c>
      <c r="H313" s="89" t="e">
        <f>IF(LEFT($A313,5)="blank",0,H$397+H$398+H$399+H$409+(VLOOKUP($A313,dist5frontier,COLUMN(H313),FALSE))-IF('Input Global'!H$64="yes",H282,0))</f>
        <v>#REF!</v>
      </c>
    </row>
    <row r="314" spans="1:14" s="21" customFormat="1" hidden="1" x14ac:dyDescent="0.3">
      <c r="A314" s="21" t="e">
        <f>#REF!</f>
        <v>#REF!</v>
      </c>
      <c r="B314" s="87" t="s">
        <v>25</v>
      </c>
      <c r="C314" s="21" t="s">
        <v>11</v>
      </c>
      <c r="D314" s="89" t="e">
        <f>IF(LEFT($A314,5)="blank",0,D$397+D$398+D$399+D$409+(VLOOKUP($A314,dist5frontier,COLUMN(D314),FALSE))-IF('Input Global'!D$64="yes",D283,0))</f>
        <v>#REF!</v>
      </c>
      <c r="E314" s="89" t="e">
        <f>IF(LEFT($A314,5)="blank",0,E$397+E$398+E$399+E$409+(VLOOKUP($A314,dist5frontier,COLUMN(E314),FALSE))-IF('Input Global'!E$64="yes",E283,0))</f>
        <v>#REF!</v>
      </c>
      <c r="F314" s="89" t="e">
        <f>IF(LEFT($A314,5)="blank",0,F$397+F$398+F$399+F$409+(VLOOKUP($A314,dist5frontier,COLUMN(F314),FALSE))-IF('Input Global'!F$64="yes",F283,0))</f>
        <v>#REF!</v>
      </c>
      <c r="G314" s="89" t="e">
        <f>IF(LEFT($A314,5)="blank",0,G$397+G$398+G$399+G$409+(VLOOKUP($A314,dist5frontier,COLUMN(G314),FALSE))-IF('Input Global'!G$64="yes",G283,0))</f>
        <v>#REF!</v>
      </c>
      <c r="H314" s="89" t="e">
        <f>IF(LEFT($A314,5)="blank",0,H$397+H$398+H$399+H$409+(VLOOKUP($A314,dist5frontier,COLUMN(H314),FALSE))-IF('Input Global'!H$64="yes",H283,0))</f>
        <v>#REF!</v>
      </c>
    </row>
    <row r="315" spans="1:14" s="21" customFormat="1" hidden="1" x14ac:dyDescent="0.3">
      <c r="A315" s="21" t="e">
        <f>#REF!</f>
        <v>#REF!</v>
      </c>
      <c r="B315" s="87" t="s">
        <v>25</v>
      </c>
      <c r="C315" s="21" t="s">
        <v>11</v>
      </c>
      <c r="D315" s="89" t="e">
        <f>IF(LEFT($A315,5)="blank",0,D$397+D$398+D$399+D$409+(VLOOKUP($A315,dist5frontier,COLUMN(D315),FALSE))-IF('Input Global'!D$64="yes",D284,0))</f>
        <v>#REF!</v>
      </c>
      <c r="E315" s="89" t="e">
        <f>IF(LEFT($A315,5)="blank",0,E$397+E$398+E$399+E$409+(VLOOKUP($A315,dist5frontier,COLUMN(E315),FALSE))-IF('Input Global'!E$64="yes",E284,0))</f>
        <v>#REF!</v>
      </c>
      <c r="F315" s="89" t="e">
        <f>IF(LEFT($A315,5)="blank",0,F$397+F$398+F$399+F$409+(VLOOKUP($A315,dist5frontier,COLUMN(F315),FALSE))-IF('Input Global'!F$64="yes",F284,0))</f>
        <v>#REF!</v>
      </c>
      <c r="G315" s="89" t="e">
        <f>IF(LEFT($A315,5)="blank",0,G$397+G$398+G$399+G$409+(VLOOKUP($A315,dist5frontier,COLUMN(G315),FALSE))-IF('Input Global'!G$64="yes",G284,0))</f>
        <v>#REF!</v>
      </c>
      <c r="H315" s="89" t="e">
        <f>IF(LEFT($A315,5)="blank",0,H$397+H$398+H$399+H$409+(VLOOKUP($A315,dist5frontier,COLUMN(H315),FALSE))-IF('Input Global'!H$64="yes",H284,0))</f>
        <v>#REF!</v>
      </c>
    </row>
    <row r="316" spans="1:14" s="21" customFormat="1" hidden="1" x14ac:dyDescent="0.3">
      <c r="A316" s="21" t="e">
        <f>#REF!</f>
        <v>#REF!</v>
      </c>
      <c r="B316" s="87" t="s">
        <v>25</v>
      </c>
      <c r="C316" s="21" t="s">
        <v>11</v>
      </c>
      <c r="D316" s="89" t="e">
        <f>IF(LEFT($A316,5)="blank",0,D$397+D$398+D$399+D$409+(VLOOKUP($A316,dist5frontier,COLUMN(D316),FALSE))-IF('Input Global'!D$64="yes",D285,0))</f>
        <v>#REF!</v>
      </c>
      <c r="E316" s="89" t="e">
        <f>IF(LEFT($A316,5)="blank",0,E$397+E$398+E$399+E$409+(VLOOKUP($A316,dist5frontier,COLUMN(E316),FALSE))-IF('Input Global'!E$64="yes",E285,0))</f>
        <v>#REF!</v>
      </c>
      <c r="F316" s="89" t="e">
        <f>IF(LEFT($A316,5)="blank",0,F$397+F$398+F$399+F$409+(VLOOKUP($A316,dist5frontier,COLUMN(F316),FALSE))-IF('Input Global'!F$64="yes",F285,0))</f>
        <v>#REF!</v>
      </c>
      <c r="G316" s="89" t="e">
        <f>IF(LEFT($A316,5)="blank",0,G$397+G$398+G$399+G$409+(VLOOKUP($A316,dist5frontier,COLUMN(G316),FALSE))-IF('Input Global'!G$64="yes",G285,0))</f>
        <v>#REF!</v>
      </c>
      <c r="H316" s="89" t="e">
        <f>IF(LEFT($A316,5)="blank",0,H$397+H$398+H$399+H$409+(VLOOKUP($A316,dist5frontier,COLUMN(H316),FALSE))-IF('Input Global'!H$64="yes",H285,0))</f>
        <v>#REF!</v>
      </c>
    </row>
    <row r="317" spans="1:14" s="21" customFormat="1" hidden="1" x14ac:dyDescent="0.3"/>
    <row r="318" spans="1:14" s="21" customFormat="1" hidden="1" x14ac:dyDescent="0.3">
      <c r="A318" s="8" t="s">
        <v>90</v>
      </c>
    </row>
    <row r="319" spans="1:14" s="21" customFormat="1" hidden="1" x14ac:dyDescent="0.3">
      <c r="A319" s="24" t="str">
        <f>Dist1</f>
        <v>Northern Territory</v>
      </c>
      <c r="K319" s="31"/>
      <c r="L319" s="31"/>
      <c r="M319" s="31"/>
      <c r="N319" s="31"/>
    </row>
    <row r="320" spans="1:14" s="21" customFormat="1" hidden="1" x14ac:dyDescent="0.3">
      <c r="A320" s="21" t="str">
        <f ca="1">'Calc (Jurisdiction)'!$B$2</f>
        <v>Calc (Jurisdiction)</v>
      </c>
      <c r="B320" s="87" t="s">
        <v>25</v>
      </c>
      <c r="C320" s="21" t="s">
        <v>11</v>
      </c>
      <c r="D320" s="64">
        <f t="shared" ref="D320:H324" ca="1" si="46">IF(LEFT($A320,5)="blank",0,IF($C$357="$/mWh",D$357*100/1000,IF($C$357="$/kwh",D$357*100,D$357))+(VLOOKUP($A320,dist1LRET,COLUMN(D320),FALSE)))</f>
        <v>0</v>
      </c>
      <c r="E320" s="64">
        <f t="shared" ca="1" si="46"/>
        <v>0</v>
      </c>
      <c r="F320" s="64">
        <f t="shared" ca="1" si="46"/>
        <v>0</v>
      </c>
      <c r="G320" s="64">
        <f t="shared" ca="1" si="46"/>
        <v>0</v>
      </c>
      <c r="H320" s="64">
        <f t="shared" ca="1" si="46"/>
        <v>0</v>
      </c>
      <c r="K320" s="36"/>
      <c r="L320" s="36"/>
      <c r="M320" s="36"/>
      <c r="N320" s="36"/>
    </row>
    <row r="321" spans="1:8" s="21" customFormat="1" hidden="1" x14ac:dyDescent="0.3">
      <c r="A321" s="21" t="e">
        <f>#REF!</f>
        <v>#REF!</v>
      </c>
      <c r="B321" s="87" t="s">
        <v>25</v>
      </c>
      <c r="C321" s="21" t="s">
        <v>11</v>
      </c>
      <c r="D321" s="64" t="e">
        <f t="shared" si="46"/>
        <v>#REF!</v>
      </c>
      <c r="E321" s="64" t="e">
        <f t="shared" si="46"/>
        <v>#REF!</v>
      </c>
      <c r="F321" s="64" t="e">
        <f t="shared" si="46"/>
        <v>#REF!</v>
      </c>
      <c r="G321" s="64" t="e">
        <f t="shared" si="46"/>
        <v>#REF!</v>
      </c>
      <c r="H321" s="64" t="e">
        <f t="shared" si="46"/>
        <v>#REF!</v>
      </c>
    </row>
    <row r="322" spans="1:8" s="21" customFormat="1" hidden="1" x14ac:dyDescent="0.3">
      <c r="A322" s="21" t="e">
        <f>#REF!</f>
        <v>#REF!</v>
      </c>
      <c r="B322" s="87" t="s">
        <v>25</v>
      </c>
      <c r="C322" s="21" t="s">
        <v>11</v>
      </c>
      <c r="D322" s="64" t="e">
        <f t="shared" si="46"/>
        <v>#REF!</v>
      </c>
      <c r="E322" s="64" t="e">
        <f t="shared" si="46"/>
        <v>#REF!</v>
      </c>
      <c r="F322" s="64" t="e">
        <f t="shared" si="46"/>
        <v>#REF!</v>
      </c>
      <c r="G322" s="64" t="e">
        <f t="shared" si="46"/>
        <v>#REF!</v>
      </c>
      <c r="H322" s="64" t="e">
        <f t="shared" si="46"/>
        <v>#REF!</v>
      </c>
    </row>
    <row r="323" spans="1:8" s="21" customFormat="1" hidden="1" x14ac:dyDescent="0.3">
      <c r="A323" s="21" t="e">
        <f>#REF!</f>
        <v>#REF!</v>
      </c>
      <c r="B323" s="87" t="s">
        <v>25</v>
      </c>
      <c r="C323" s="21" t="s">
        <v>11</v>
      </c>
      <c r="D323" s="64" t="e">
        <f t="shared" si="46"/>
        <v>#REF!</v>
      </c>
      <c r="E323" s="64" t="e">
        <f t="shared" si="46"/>
        <v>#REF!</v>
      </c>
      <c r="F323" s="64" t="e">
        <f t="shared" si="46"/>
        <v>#REF!</v>
      </c>
      <c r="G323" s="64" t="e">
        <f t="shared" si="46"/>
        <v>#REF!</v>
      </c>
      <c r="H323" s="64" t="e">
        <f t="shared" si="46"/>
        <v>#REF!</v>
      </c>
    </row>
    <row r="324" spans="1:8" s="21" customFormat="1" hidden="1" x14ac:dyDescent="0.3">
      <c r="A324" s="21" t="e">
        <f>#REF!</f>
        <v>#REF!</v>
      </c>
      <c r="B324" s="87" t="s">
        <v>25</v>
      </c>
      <c r="C324" s="21" t="s">
        <v>11</v>
      </c>
      <c r="D324" s="64" t="e">
        <f t="shared" si="46"/>
        <v>#REF!</v>
      </c>
      <c r="E324" s="64" t="e">
        <f t="shared" si="46"/>
        <v>#REF!</v>
      </c>
      <c r="F324" s="64" t="e">
        <f t="shared" si="46"/>
        <v>#REF!</v>
      </c>
      <c r="G324" s="64" t="e">
        <f t="shared" si="46"/>
        <v>#REF!</v>
      </c>
      <c r="H324" s="64" t="e">
        <f t="shared" si="46"/>
        <v>#REF!</v>
      </c>
    </row>
    <row r="325" spans="1:8" s="21" customFormat="1" hidden="1" x14ac:dyDescent="0.3">
      <c r="A325" s="24" t="str">
        <f>Dist2</f>
        <v>blank</v>
      </c>
      <c r="D325" s="25"/>
      <c r="E325" s="25"/>
      <c r="F325" s="25"/>
      <c r="G325" s="25"/>
      <c r="H325" s="25"/>
    </row>
    <row r="326" spans="1:8" s="21" customFormat="1" hidden="1" x14ac:dyDescent="0.3">
      <c r="A326" s="21" t="str">
        <f ca="1">'Calc (Jurisdiction)'!$B$2</f>
        <v>Calc (Jurisdiction)</v>
      </c>
      <c r="B326" s="87" t="s">
        <v>25</v>
      </c>
      <c r="C326" s="21" t="s">
        <v>11</v>
      </c>
      <c r="D326" s="64">
        <f t="shared" ref="D326:H330" ca="1" si="47">IF(LEFT($A326,5)="blank",0,IF(LEFT($A$325,5)="blank",0,IF($C$368="$/mWh",D$368*100/1000,IF($C$368="$/kwh",D$368*100,D$368))+VLOOKUP($A326,Dist2LRET,COLUMN(D326),FALSE)))</f>
        <v>0</v>
      </c>
      <c r="E326" s="64">
        <f t="shared" ca="1" si="47"/>
        <v>0</v>
      </c>
      <c r="F326" s="64">
        <f t="shared" ca="1" si="47"/>
        <v>0</v>
      </c>
      <c r="G326" s="64">
        <f t="shared" ca="1" si="47"/>
        <v>0</v>
      </c>
      <c r="H326" s="64">
        <f t="shared" ca="1" si="47"/>
        <v>0</v>
      </c>
    </row>
    <row r="327" spans="1:8" s="21" customFormat="1" hidden="1" x14ac:dyDescent="0.3">
      <c r="A327" s="21" t="e">
        <f>#REF!</f>
        <v>#REF!</v>
      </c>
      <c r="B327" s="87" t="s">
        <v>25</v>
      </c>
      <c r="C327" s="21" t="s">
        <v>11</v>
      </c>
      <c r="D327" s="64" t="e">
        <f t="shared" si="47"/>
        <v>#REF!</v>
      </c>
      <c r="E327" s="64" t="e">
        <f t="shared" si="47"/>
        <v>#REF!</v>
      </c>
      <c r="F327" s="64" t="e">
        <f t="shared" si="47"/>
        <v>#REF!</v>
      </c>
      <c r="G327" s="64" t="e">
        <f t="shared" si="47"/>
        <v>#REF!</v>
      </c>
      <c r="H327" s="64" t="e">
        <f t="shared" si="47"/>
        <v>#REF!</v>
      </c>
    </row>
    <row r="328" spans="1:8" s="21" customFormat="1" hidden="1" x14ac:dyDescent="0.3">
      <c r="A328" s="21" t="e">
        <f>#REF!</f>
        <v>#REF!</v>
      </c>
      <c r="B328" s="87" t="s">
        <v>25</v>
      </c>
      <c r="C328" s="21" t="s">
        <v>11</v>
      </c>
      <c r="D328" s="64" t="e">
        <f t="shared" si="47"/>
        <v>#REF!</v>
      </c>
      <c r="E328" s="64" t="e">
        <f t="shared" si="47"/>
        <v>#REF!</v>
      </c>
      <c r="F328" s="64" t="e">
        <f t="shared" si="47"/>
        <v>#REF!</v>
      </c>
      <c r="G328" s="64" t="e">
        <f t="shared" si="47"/>
        <v>#REF!</v>
      </c>
      <c r="H328" s="64" t="e">
        <f t="shared" si="47"/>
        <v>#REF!</v>
      </c>
    </row>
    <row r="329" spans="1:8" s="21" customFormat="1" hidden="1" x14ac:dyDescent="0.3">
      <c r="A329" s="21" t="e">
        <f>#REF!</f>
        <v>#REF!</v>
      </c>
      <c r="B329" s="87" t="s">
        <v>25</v>
      </c>
      <c r="C329" s="21" t="s">
        <v>11</v>
      </c>
      <c r="D329" s="64" t="e">
        <f t="shared" si="47"/>
        <v>#REF!</v>
      </c>
      <c r="E329" s="64" t="e">
        <f t="shared" si="47"/>
        <v>#REF!</v>
      </c>
      <c r="F329" s="64" t="e">
        <f t="shared" si="47"/>
        <v>#REF!</v>
      </c>
      <c r="G329" s="64" t="e">
        <f t="shared" si="47"/>
        <v>#REF!</v>
      </c>
      <c r="H329" s="64" t="e">
        <f t="shared" si="47"/>
        <v>#REF!</v>
      </c>
    </row>
    <row r="330" spans="1:8" s="21" customFormat="1" hidden="1" x14ac:dyDescent="0.3">
      <c r="A330" s="21" t="e">
        <f>#REF!</f>
        <v>#REF!</v>
      </c>
      <c r="B330" s="87" t="s">
        <v>25</v>
      </c>
      <c r="C330" s="21" t="s">
        <v>11</v>
      </c>
      <c r="D330" s="64" t="e">
        <f t="shared" si="47"/>
        <v>#REF!</v>
      </c>
      <c r="E330" s="64" t="e">
        <f t="shared" si="47"/>
        <v>#REF!</v>
      </c>
      <c r="F330" s="64" t="e">
        <f t="shared" si="47"/>
        <v>#REF!</v>
      </c>
      <c r="G330" s="64" t="e">
        <f t="shared" si="47"/>
        <v>#REF!</v>
      </c>
      <c r="H330" s="64" t="e">
        <f t="shared" si="47"/>
        <v>#REF!</v>
      </c>
    </row>
    <row r="331" spans="1:8" s="21" customFormat="1" hidden="1" x14ac:dyDescent="0.3">
      <c r="A331" s="24" t="str">
        <f>Dist3</f>
        <v>blank</v>
      </c>
      <c r="D331" s="25"/>
      <c r="E331" s="25"/>
      <c r="F331" s="25"/>
      <c r="G331" s="25"/>
      <c r="H331" s="25"/>
    </row>
    <row r="332" spans="1:8" s="21" customFormat="1" hidden="1" x14ac:dyDescent="0.3">
      <c r="A332" s="21" t="str">
        <f ca="1">'Calc (Jurisdiction)'!$B$2</f>
        <v>Calc (Jurisdiction)</v>
      </c>
      <c r="B332" s="87" t="s">
        <v>25</v>
      </c>
      <c r="C332" s="21" t="s">
        <v>11</v>
      </c>
      <c r="D332" s="64">
        <f t="shared" ref="D332:H336" ca="1" si="48">IF(LEFT($A332,5)="blank",0,IF(LEFT($A$331,5)="blank",0,IF($C$379="$/mWh",D$379*100/1000,IF($C$379="$/kwh",D$379*100,D$379))+VLOOKUP($A332,Dist3LRET,COLUMN(D332),FALSE)))</f>
        <v>0</v>
      </c>
      <c r="E332" s="89">
        <f t="shared" ca="1" si="48"/>
        <v>0</v>
      </c>
      <c r="F332" s="89">
        <f t="shared" ca="1" si="48"/>
        <v>0</v>
      </c>
      <c r="G332" s="89">
        <f t="shared" ca="1" si="48"/>
        <v>0</v>
      </c>
      <c r="H332" s="89">
        <f t="shared" ca="1" si="48"/>
        <v>0</v>
      </c>
    </row>
    <row r="333" spans="1:8" s="21" customFormat="1" hidden="1" x14ac:dyDescent="0.3">
      <c r="A333" s="21" t="e">
        <f>#REF!</f>
        <v>#REF!</v>
      </c>
      <c r="B333" s="87" t="s">
        <v>25</v>
      </c>
      <c r="C333" s="21" t="s">
        <v>11</v>
      </c>
      <c r="D333" s="89" t="e">
        <f t="shared" si="48"/>
        <v>#REF!</v>
      </c>
      <c r="E333" s="89" t="e">
        <f t="shared" si="48"/>
        <v>#REF!</v>
      </c>
      <c r="F333" s="89" t="e">
        <f t="shared" si="48"/>
        <v>#REF!</v>
      </c>
      <c r="G333" s="89" t="e">
        <f t="shared" si="48"/>
        <v>#REF!</v>
      </c>
      <c r="H333" s="89" t="e">
        <f t="shared" si="48"/>
        <v>#REF!</v>
      </c>
    </row>
    <row r="334" spans="1:8" s="21" customFormat="1" hidden="1" x14ac:dyDescent="0.3">
      <c r="A334" s="21" t="e">
        <f>#REF!</f>
        <v>#REF!</v>
      </c>
      <c r="B334" s="87" t="s">
        <v>25</v>
      </c>
      <c r="C334" s="21" t="s">
        <v>11</v>
      </c>
      <c r="D334" s="89" t="e">
        <f t="shared" si="48"/>
        <v>#REF!</v>
      </c>
      <c r="E334" s="89" t="e">
        <f t="shared" si="48"/>
        <v>#REF!</v>
      </c>
      <c r="F334" s="89" t="e">
        <f t="shared" si="48"/>
        <v>#REF!</v>
      </c>
      <c r="G334" s="89" t="e">
        <f t="shared" si="48"/>
        <v>#REF!</v>
      </c>
      <c r="H334" s="89" t="e">
        <f t="shared" si="48"/>
        <v>#REF!</v>
      </c>
    </row>
    <row r="335" spans="1:8" s="21" customFormat="1" hidden="1" x14ac:dyDescent="0.3">
      <c r="A335" s="21" t="e">
        <f>#REF!</f>
        <v>#REF!</v>
      </c>
      <c r="B335" s="87" t="s">
        <v>25</v>
      </c>
      <c r="C335" s="21" t="s">
        <v>11</v>
      </c>
      <c r="D335" s="89" t="e">
        <f t="shared" si="48"/>
        <v>#REF!</v>
      </c>
      <c r="E335" s="89" t="e">
        <f t="shared" si="48"/>
        <v>#REF!</v>
      </c>
      <c r="F335" s="89" t="e">
        <f t="shared" si="48"/>
        <v>#REF!</v>
      </c>
      <c r="G335" s="89" t="e">
        <f t="shared" si="48"/>
        <v>#REF!</v>
      </c>
      <c r="H335" s="89" t="e">
        <f t="shared" si="48"/>
        <v>#REF!</v>
      </c>
    </row>
    <row r="336" spans="1:8" s="21" customFormat="1" hidden="1" x14ac:dyDescent="0.3">
      <c r="A336" s="21" t="e">
        <f>#REF!</f>
        <v>#REF!</v>
      </c>
      <c r="B336" s="87" t="s">
        <v>25</v>
      </c>
      <c r="C336" s="21" t="s">
        <v>11</v>
      </c>
      <c r="D336" s="89" t="e">
        <f t="shared" si="48"/>
        <v>#REF!</v>
      </c>
      <c r="E336" s="89" t="e">
        <f t="shared" si="48"/>
        <v>#REF!</v>
      </c>
      <c r="F336" s="89" t="e">
        <f t="shared" si="48"/>
        <v>#REF!</v>
      </c>
      <c r="G336" s="89" t="e">
        <f t="shared" si="48"/>
        <v>#REF!</v>
      </c>
      <c r="H336" s="89" t="e">
        <f t="shared" si="48"/>
        <v>#REF!</v>
      </c>
    </row>
    <row r="337" spans="1:8" s="21" customFormat="1" hidden="1" x14ac:dyDescent="0.3">
      <c r="A337" s="24" t="str">
        <f>Dist4</f>
        <v>blank</v>
      </c>
      <c r="D337" s="25"/>
      <c r="E337" s="25"/>
      <c r="F337" s="25"/>
      <c r="G337" s="25"/>
      <c r="H337" s="25"/>
    </row>
    <row r="338" spans="1:8" s="21" customFormat="1" hidden="1" x14ac:dyDescent="0.3">
      <c r="A338" s="21" t="str">
        <f ca="1">'Calc (Jurisdiction)'!$B$2</f>
        <v>Calc (Jurisdiction)</v>
      </c>
      <c r="B338" s="87" t="s">
        <v>25</v>
      </c>
      <c r="C338" s="21" t="s">
        <v>11</v>
      </c>
      <c r="D338" s="64">
        <f t="shared" ref="D338:H342" ca="1" si="49">IF(LEFT($A338,5)="blank",0,IF(LEFT($A$337,5)="blank",0,IF($C$390="$/mWh",D$390*100/1000,IF($C$390="$/kwh",D$390*100,D$390))+VLOOKUP($A338,Dist4LRET,COLUMN(D338),FALSE)))</f>
        <v>0</v>
      </c>
      <c r="E338" s="89">
        <f t="shared" ca="1" si="49"/>
        <v>0</v>
      </c>
      <c r="F338" s="89">
        <f t="shared" ca="1" si="49"/>
        <v>0</v>
      </c>
      <c r="G338" s="89">
        <f t="shared" ca="1" si="49"/>
        <v>0</v>
      </c>
      <c r="H338" s="89">
        <f t="shared" ca="1" si="49"/>
        <v>0</v>
      </c>
    </row>
    <row r="339" spans="1:8" s="21" customFormat="1" hidden="1" x14ac:dyDescent="0.3">
      <c r="A339" s="21" t="e">
        <f>#REF!</f>
        <v>#REF!</v>
      </c>
      <c r="B339" s="87" t="s">
        <v>25</v>
      </c>
      <c r="C339" s="21" t="s">
        <v>11</v>
      </c>
      <c r="D339" s="89" t="e">
        <f t="shared" si="49"/>
        <v>#REF!</v>
      </c>
      <c r="E339" s="89" t="e">
        <f t="shared" si="49"/>
        <v>#REF!</v>
      </c>
      <c r="F339" s="89" t="e">
        <f t="shared" si="49"/>
        <v>#REF!</v>
      </c>
      <c r="G339" s="89" t="e">
        <f t="shared" si="49"/>
        <v>#REF!</v>
      </c>
      <c r="H339" s="89" t="e">
        <f t="shared" si="49"/>
        <v>#REF!</v>
      </c>
    </row>
    <row r="340" spans="1:8" s="21" customFormat="1" hidden="1" x14ac:dyDescent="0.3">
      <c r="A340" s="21" t="e">
        <f>#REF!</f>
        <v>#REF!</v>
      </c>
      <c r="B340" s="87" t="s">
        <v>25</v>
      </c>
      <c r="C340" s="21" t="s">
        <v>11</v>
      </c>
      <c r="D340" s="89" t="e">
        <f t="shared" si="49"/>
        <v>#REF!</v>
      </c>
      <c r="E340" s="89" t="e">
        <f t="shared" si="49"/>
        <v>#REF!</v>
      </c>
      <c r="F340" s="89" t="e">
        <f t="shared" si="49"/>
        <v>#REF!</v>
      </c>
      <c r="G340" s="89" t="e">
        <f t="shared" si="49"/>
        <v>#REF!</v>
      </c>
      <c r="H340" s="89" t="e">
        <f t="shared" si="49"/>
        <v>#REF!</v>
      </c>
    </row>
    <row r="341" spans="1:8" s="21" customFormat="1" hidden="1" x14ac:dyDescent="0.3">
      <c r="A341" s="21" t="e">
        <f>#REF!</f>
        <v>#REF!</v>
      </c>
      <c r="B341" s="87" t="s">
        <v>25</v>
      </c>
      <c r="C341" s="21" t="s">
        <v>11</v>
      </c>
      <c r="D341" s="89" t="e">
        <f t="shared" si="49"/>
        <v>#REF!</v>
      </c>
      <c r="E341" s="89" t="e">
        <f t="shared" si="49"/>
        <v>#REF!</v>
      </c>
      <c r="F341" s="89" t="e">
        <f t="shared" si="49"/>
        <v>#REF!</v>
      </c>
      <c r="G341" s="89" t="e">
        <f t="shared" si="49"/>
        <v>#REF!</v>
      </c>
      <c r="H341" s="89" t="e">
        <f t="shared" si="49"/>
        <v>#REF!</v>
      </c>
    </row>
    <row r="342" spans="1:8" s="21" customFormat="1" hidden="1" x14ac:dyDescent="0.3">
      <c r="A342" s="21" t="e">
        <f>#REF!</f>
        <v>#REF!</v>
      </c>
      <c r="B342" s="87" t="s">
        <v>25</v>
      </c>
      <c r="C342" s="21" t="s">
        <v>11</v>
      </c>
      <c r="D342" s="89" t="e">
        <f t="shared" si="49"/>
        <v>#REF!</v>
      </c>
      <c r="E342" s="89" t="e">
        <f t="shared" si="49"/>
        <v>#REF!</v>
      </c>
      <c r="F342" s="89" t="e">
        <f t="shared" si="49"/>
        <v>#REF!</v>
      </c>
      <c r="G342" s="89" t="e">
        <f t="shared" si="49"/>
        <v>#REF!</v>
      </c>
      <c r="H342" s="89" t="e">
        <f t="shared" si="49"/>
        <v>#REF!</v>
      </c>
    </row>
    <row r="343" spans="1:8" s="21" customFormat="1" hidden="1" x14ac:dyDescent="0.3">
      <c r="A343" s="24" t="str">
        <f>Dist5</f>
        <v>blank</v>
      </c>
      <c r="D343" s="25"/>
      <c r="E343" s="25"/>
      <c r="F343" s="25"/>
      <c r="G343" s="25"/>
      <c r="H343" s="25"/>
    </row>
    <row r="344" spans="1:8" s="21" customFormat="1" hidden="1" x14ac:dyDescent="0.3">
      <c r="A344" s="21" t="str">
        <f ca="1">'Calc (Jurisdiction)'!$B$2</f>
        <v>Calc (Jurisdiction)</v>
      </c>
      <c r="B344" s="87" t="s">
        <v>25</v>
      </c>
      <c r="C344" s="21" t="s">
        <v>11</v>
      </c>
      <c r="D344" s="64">
        <f t="shared" ref="D344:H348" ca="1" si="50">IF(LEFT($A344,5)="blank",0,IF(LEFT($A$343,5)="blank",0,IF($C$401="$/mWh",D$401*100/1000,IF($C$401="$/kwh",D$401*100,D$401))+VLOOKUP($A344,Dist5LRET,COLUMN(D344),FALSE)))</f>
        <v>0</v>
      </c>
      <c r="E344" s="89">
        <f t="shared" ca="1" si="50"/>
        <v>0</v>
      </c>
      <c r="F344" s="89">
        <f t="shared" ca="1" si="50"/>
        <v>0</v>
      </c>
      <c r="G344" s="89">
        <f t="shared" ca="1" si="50"/>
        <v>0</v>
      </c>
      <c r="H344" s="89">
        <f t="shared" ca="1" si="50"/>
        <v>0</v>
      </c>
    </row>
    <row r="345" spans="1:8" s="21" customFormat="1" hidden="1" x14ac:dyDescent="0.3">
      <c r="A345" s="21" t="e">
        <f>#REF!</f>
        <v>#REF!</v>
      </c>
      <c r="B345" s="87" t="s">
        <v>25</v>
      </c>
      <c r="C345" s="21" t="s">
        <v>11</v>
      </c>
      <c r="D345" s="89" t="e">
        <f t="shared" si="50"/>
        <v>#REF!</v>
      </c>
      <c r="E345" s="89" t="e">
        <f t="shared" si="50"/>
        <v>#REF!</v>
      </c>
      <c r="F345" s="89" t="e">
        <f t="shared" si="50"/>
        <v>#REF!</v>
      </c>
      <c r="G345" s="89" t="e">
        <f t="shared" si="50"/>
        <v>#REF!</v>
      </c>
      <c r="H345" s="89" t="e">
        <f t="shared" si="50"/>
        <v>#REF!</v>
      </c>
    </row>
    <row r="346" spans="1:8" s="21" customFormat="1" hidden="1" x14ac:dyDescent="0.3">
      <c r="A346" s="21" t="e">
        <f>#REF!</f>
        <v>#REF!</v>
      </c>
      <c r="B346" s="87" t="s">
        <v>25</v>
      </c>
      <c r="C346" s="21" t="s">
        <v>11</v>
      </c>
      <c r="D346" s="89" t="e">
        <f t="shared" si="50"/>
        <v>#REF!</v>
      </c>
      <c r="E346" s="89" t="e">
        <f t="shared" si="50"/>
        <v>#REF!</v>
      </c>
      <c r="F346" s="89" t="e">
        <f t="shared" si="50"/>
        <v>#REF!</v>
      </c>
      <c r="G346" s="89" t="e">
        <f t="shared" si="50"/>
        <v>#REF!</v>
      </c>
      <c r="H346" s="89" t="e">
        <f t="shared" si="50"/>
        <v>#REF!</v>
      </c>
    </row>
    <row r="347" spans="1:8" s="21" customFormat="1" hidden="1" x14ac:dyDescent="0.3">
      <c r="A347" s="21" t="e">
        <f>#REF!</f>
        <v>#REF!</v>
      </c>
      <c r="B347" s="87" t="s">
        <v>25</v>
      </c>
      <c r="C347" s="21" t="s">
        <v>11</v>
      </c>
      <c r="D347" s="89" t="e">
        <f t="shared" si="50"/>
        <v>#REF!</v>
      </c>
      <c r="E347" s="89" t="e">
        <f t="shared" si="50"/>
        <v>#REF!</v>
      </c>
      <c r="F347" s="89" t="e">
        <f t="shared" si="50"/>
        <v>#REF!</v>
      </c>
      <c r="G347" s="89" t="e">
        <f t="shared" si="50"/>
        <v>#REF!</v>
      </c>
      <c r="H347" s="89" t="e">
        <f t="shared" si="50"/>
        <v>#REF!</v>
      </c>
    </row>
    <row r="348" spans="1:8" s="21" customFormat="1" hidden="1" x14ac:dyDescent="0.3">
      <c r="A348" s="21" t="e">
        <f>#REF!</f>
        <v>#REF!</v>
      </c>
      <c r="B348" s="87" t="s">
        <v>25</v>
      </c>
      <c r="C348" s="21" t="s">
        <v>11</v>
      </c>
      <c r="D348" s="89" t="e">
        <f t="shared" si="50"/>
        <v>#REF!</v>
      </c>
      <c r="E348" s="89" t="e">
        <f t="shared" si="50"/>
        <v>#REF!</v>
      </c>
      <c r="F348" s="89" t="e">
        <f t="shared" si="50"/>
        <v>#REF!</v>
      </c>
      <c r="G348" s="89" t="e">
        <f t="shared" si="50"/>
        <v>#REF!</v>
      </c>
      <c r="H348" s="89" t="e">
        <f t="shared" si="50"/>
        <v>#REF!</v>
      </c>
    </row>
    <row r="349" spans="1:8" s="21" customFormat="1" x14ac:dyDescent="0.3"/>
    <row r="350" spans="1:8" s="21" customFormat="1" x14ac:dyDescent="0.3">
      <c r="A350" s="8" t="str">
        <f>LEFT(B58,3) &amp; " Jurisdiction Data"</f>
        <v>Cal Jurisdiction Data</v>
      </c>
      <c r="D350" s="45"/>
      <c r="E350" s="45"/>
      <c r="F350" s="45"/>
      <c r="G350" s="45"/>
      <c r="H350" s="45"/>
    </row>
    <row r="351" spans="1:8" s="21" customFormat="1" x14ac:dyDescent="0.3">
      <c r="A351" s="40" t="str">
        <f>Dist1</f>
        <v>Northern Territory</v>
      </c>
      <c r="B351" s="87"/>
      <c r="C351" s="87"/>
      <c r="D351" s="87"/>
      <c r="E351" s="87"/>
      <c r="F351" s="87"/>
      <c r="G351" s="87"/>
      <c r="H351" s="87"/>
    </row>
    <row r="352" spans="1:8" s="21" customFormat="1" x14ac:dyDescent="0.3">
      <c r="A352" s="71" t="s">
        <v>64</v>
      </c>
      <c r="B352" s="87" t="s">
        <v>25</v>
      </c>
      <c r="C352" s="87" t="s">
        <v>11</v>
      </c>
      <c r="D352" s="103">
        <f t="shared" ref="D352:H360" si="51">IF($C782="$/mwh",D782*100/1000,IF($C782="$/kwh",D782*100,D782))</f>
        <v>0</v>
      </c>
      <c r="E352" s="103">
        <f t="shared" si="51"/>
        <v>0.28756363636363635</v>
      </c>
      <c r="F352" s="103">
        <f t="shared" si="51"/>
        <v>0.31665454545454547</v>
      </c>
      <c r="G352" s="103">
        <f t="shared" si="51"/>
        <v>0.45094356164383564</v>
      </c>
      <c r="H352" s="103">
        <f t="shared" si="51"/>
        <v>0.46221715068493152</v>
      </c>
    </row>
    <row r="353" spans="1:11" s="21" customFormat="1" x14ac:dyDescent="0.3">
      <c r="A353" s="71" t="s">
        <v>74</v>
      </c>
      <c r="B353" s="87" t="s">
        <v>25</v>
      </c>
      <c r="C353" s="87" t="s">
        <v>11</v>
      </c>
      <c r="D353" s="103">
        <f t="shared" si="51"/>
        <v>0</v>
      </c>
      <c r="E353" s="103">
        <f t="shared" si="51"/>
        <v>13.838999999999999</v>
      </c>
      <c r="F353" s="103">
        <f t="shared" si="51"/>
        <v>14.249454545454544</v>
      </c>
      <c r="G353" s="103">
        <f t="shared" si="51"/>
        <v>20.292460273972601</v>
      </c>
      <c r="H353" s="103">
        <f t="shared" si="51"/>
        <v>0</v>
      </c>
    </row>
    <row r="354" spans="1:11" s="21" customFormat="1" x14ac:dyDescent="0.3">
      <c r="A354" s="71" t="s">
        <v>102</v>
      </c>
      <c r="B354" s="87" t="s">
        <v>25</v>
      </c>
      <c r="C354" s="87" t="s">
        <v>11</v>
      </c>
      <c r="D354" s="103">
        <f t="shared" si="51"/>
        <v>0</v>
      </c>
      <c r="E354" s="103">
        <f t="shared" si="51"/>
        <v>0</v>
      </c>
      <c r="F354" s="103">
        <f t="shared" si="51"/>
        <v>0</v>
      </c>
      <c r="G354" s="103">
        <f t="shared" si="51"/>
        <v>0</v>
      </c>
      <c r="H354" s="103">
        <f t="shared" si="51"/>
        <v>0</v>
      </c>
      <c r="K354" s="26"/>
    </row>
    <row r="355" spans="1:11" s="21" customFormat="1" x14ac:dyDescent="0.3">
      <c r="A355" s="71" t="s">
        <v>120</v>
      </c>
      <c r="B355" s="87" t="s">
        <v>25</v>
      </c>
      <c r="C355" s="87" t="s">
        <v>11</v>
      </c>
      <c r="D355" s="103">
        <f t="shared" si="51"/>
        <v>0</v>
      </c>
      <c r="E355" s="103">
        <f t="shared" si="51"/>
        <v>0</v>
      </c>
      <c r="F355" s="103">
        <f t="shared" si="51"/>
        <v>0</v>
      </c>
      <c r="G355" s="103">
        <f t="shared" si="51"/>
        <v>0</v>
      </c>
      <c r="H355" s="103">
        <f t="shared" si="51"/>
        <v>0</v>
      </c>
    </row>
    <row r="356" spans="1:11" s="21" customFormat="1" x14ac:dyDescent="0.3">
      <c r="A356" s="71" t="s">
        <v>103</v>
      </c>
      <c r="B356" s="87" t="s">
        <v>25</v>
      </c>
      <c r="C356" s="87" t="s">
        <v>11</v>
      </c>
      <c r="D356" s="103">
        <f t="shared" si="51"/>
        <v>0</v>
      </c>
      <c r="E356" s="103">
        <f t="shared" si="51"/>
        <v>0</v>
      </c>
      <c r="F356" s="103">
        <f t="shared" si="51"/>
        <v>1.325990909090909</v>
      </c>
      <c r="G356" s="103">
        <f t="shared" si="51"/>
        <v>1.8883261643835614</v>
      </c>
      <c r="H356" s="103">
        <f t="shared" si="51"/>
        <v>0</v>
      </c>
    </row>
    <row r="357" spans="1:11" s="21" customFormat="1" x14ac:dyDescent="0.3">
      <c r="A357" s="71" t="s">
        <v>16</v>
      </c>
      <c r="B357" s="87" t="s">
        <v>25</v>
      </c>
      <c r="C357" s="87" t="s">
        <v>11</v>
      </c>
      <c r="D357" s="103">
        <f t="shared" si="51"/>
        <v>0</v>
      </c>
      <c r="E357" s="103">
        <f t="shared" si="51"/>
        <v>0</v>
      </c>
      <c r="F357" s="103">
        <f t="shared" si="51"/>
        <v>0</v>
      </c>
      <c r="G357" s="103">
        <f t="shared" si="51"/>
        <v>0</v>
      </c>
      <c r="H357" s="103">
        <f t="shared" si="51"/>
        <v>0</v>
      </c>
    </row>
    <row r="358" spans="1:11" s="21" customFormat="1" x14ac:dyDescent="0.3">
      <c r="A358" s="71" t="s">
        <v>69</v>
      </c>
      <c r="B358" s="87" t="s">
        <v>25</v>
      </c>
      <c r="C358" s="87" t="s">
        <v>11</v>
      </c>
      <c r="D358" s="103">
        <f t="shared" si="51"/>
        <v>0</v>
      </c>
      <c r="E358" s="103">
        <f t="shared" si="51"/>
        <v>0</v>
      </c>
      <c r="F358" s="103">
        <f t="shared" si="51"/>
        <v>0</v>
      </c>
      <c r="G358" s="103">
        <f t="shared" si="51"/>
        <v>0</v>
      </c>
      <c r="H358" s="103">
        <f t="shared" si="51"/>
        <v>0</v>
      </c>
    </row>
    <row r="359" spans="1:11" s="21" customFormat="1" x14ac:dyDescent="0.3">
      <c r="A359" s="48" t="str">
        <f>Scheme1</f>
        <v>blank</v>
      </c>
      <c r="B359" s="87" t="s">
        <v>25</v>
      </c>
      <c r="C359" s="87" t="s">
        <v>11</v>
      </c>
      <c r="D359" s="103">
        <f t="shared" si="51"/>
        <v>0</v>
      </c>
      <c r="E359" s="103">
        <f t="shared" si="51"/>
        <v>0</v>
      </c>
      <c r="F359" s="103">
        <f t="shared" si="51"/>
        <v>0</v>
      </c>
      <c r="G359" s="103">
        <f t="shared" si="51"/>
        <v>0</v>
      </c>
      <c r="H359" s="103">
        <f t="shared" si="51"/>
        <v>0</v>
      </c>
    </row>
    <row r="360" spans="1:11" s="21" customFormat="1" x14ac:dyDescent="0.3">
      <c r="A360" s="44" t="str">
        <f>Scheme2</f>
        <v>blank</v>
      </c>
      <c r="B360" s="87" t="s">
        <v>25</v>
      </c>
      <c r="C360" s="87" t="s">
        <v>11</v>
      </c>
      <c r="D360" s="103">
        <f t="shared" si="51"/>
        <v>0</v>
      </c>
      <c r="E360" s="103">
        <f t="shared" si="51"/>
        <v>0</v>
      </c>
      <c r="F360" s="103">
        <f t="shared" si="51"/>
        <v>0</v>
      </c>
      <c r="G360" s="103">
        <f t="shared" si="51"/>
        <v>0</v>
      </c>
      <c r="H360" s="103">
        <f t="shared" si="51"/>
        <v>0</v>
      </c>
    </row>
    <row r="361" spans="1:11" s="21" customFormat="1" hidden="1" x14ac:dyDescent="0.3">
      <c r="A361" s="87"/>
      <c r="B361" s="87"/>
      <c r="C361" s="87"/>
      <c r="D361" s="31"/>
      <c r="E361" s="47"/>
      <c r="F361" s="47"/>
      <c r="G361" s="47"/>
      <c r="H361" s="47"/>
    </row>
    <row r="362" spans="1:11" s="21" customFormat="1" hidden="1" x14ac:dyDescent="0.3">
      <c r="A362" s="40" t="str">
        <f>Dist2</f>
        <v>blank</v>
      </c>
      <c r="B362" s="87"/>
      <c r="C362" s="87"/>
      <c r="D362" s="87"/>
      <c r="E362" s="87"/>
      <c r="F362" s="87"/>
      <c r="G362" s="87"/>
      <c r="H362" s="87"/>
    </row>
    <row r="363" spans="1:11" s="21" customFormat="1" hidden="1" x14ac:dyDescent="0.3">
      <c r="A363" s="26" t="str">
        <f t="shared" ref="A363:A371" si="52">A352</f>
        <v>Retail operating Cost</v>
      </c>
      <c r="B363" s="87" t="s">
        <v>25</v>
      </c>
      <c r="C363" s="87" t="s">
        <v>11</v>
      </c>
      <c r="D363" s="103">
        <f t="shared" ref="D363:H371" si="53">IF($C793="$/mwh",D793*100/1000,IF($C793="$/kwh",D793*100,D793))</f>
        <v>0</v>
      </c>
      <c r="E363" s="103">
        <f t="shared" si="53"/>
        <v>0</v>
      </c>
      <c r="F363" s="103">
        <f t="shared" si="53"/>
        <v>0</v>
      </c>
      <c r="G363" s="103">
        <f t="shared" si="53"/>
        <v>0</v>
      </c>
      <c r="H363" s="103">
        <f t="shared" si="53"/>
        <v>0</v>
      </c>
    </row>
    <row r="364" spans="1:11" s="21" customFormat="1" hidden="1" x14ac:dyDescent="0.3">
      <c r="A364" s="26" t="str">
        <f t="shared" si="52"/>
        <v>Generation</v>
      </c>
      <c r="B364" s="87" t="s">
        <v>25</v>
      </c>
      <c r="C364" s="87" t="s">
        <v>11</v>
      </c>
      <c r="D364" s="103">
        <f t="shared" si="53"/>
        <v>0</v>
      </c>
      <c r="E364" s="103">
        <f t="shared" si="53"/>
        <v>0</v>
      </c>
      <c r="F364" s="103">
        <f t="shared" si="53"/>
        <v>0</v>
      </c>
      <c r="G364" s="103">
        <f t="shared" si="53"/>
        <v>0</v>
      </c>
      <c r="H364" s="103">
        <f t="shared" si="53"/>
        <v>0</v>
      </c>
    </row>
    <row r="365" spans="1:11" s="21" customFormat="1" hidden="1" x14ac:dyDescent="0.3">
      <c r="A365" s="26" t="str">
        <f t="shared" si="52"/>
        <v xml:space="preserve">Losses </v>
      </c>
      <c r="B365" s="87" t="s">
        <v>25</v>
      </c>
      <c r="C365" s="87" t="s">
        <v>11</v>
      </c>
      <c r="D365" s="103">
        <f t="shared" si="53"/>
        <v>0</v>
      </c>
      <c r="E365" s="103">
        <f t="shared" si="53"/>
        <v>0</v>
      </c>
      <c r="F365" s="103">
        <f t="shared" si="53"/>
        <v>0</v>
      </c>
      <c r="G365" s="103">
        <f t="shared" si="53"/>
        <v>0</v>
      </c>
      <c r="H365" s="103">
        <f t="shared" si="53"/>
        <v>0</v>
      </c>
      <c r="I365" s="49"/>
    </row>
    <row r="366" spans="1:11" s="21" customFormat="1" hidden="1" x14ac:dyDescent="0.3">
      <c r="A366" s="26" t="str">
        <f t="shared" si="52"/>
        <v>Market Fees</v>
      </c>
      <c r="B366" s="87" t="s">
        <v>25</v>
      </c>
      <c r="C366" s="87" t="s">
        <v>11</v>
      </c>
      <c r="D366" s="103">
        <f t="shared" si="53"/>
        <v>0</v>
      </c>
      <c r="E366" s="103">
        <f t="shared" si="53"/>
        <v>0</v>
      </c>
      <c r="F366" s="103">
        <f t="shared" si="53"/>
        <v>0</v>
      </c>
      <c r="G366" s="103">
        <f t="shared" si="53"/>
        <v>0</v>
      </c>
      <c r="H366" s="103">
        <f t="shared" si="53"/>
        <v>0</v>
      </c>
      <c r="I366" s="49"/>
    </row>
    <row r="367" spans="1:11" s="21" customFormat="1" hidden="1" x14ac:dyDescent="0.3">
      <c r="A367" s="26" t="str">
        <f t="shared" si="52"/>
        <v>Carbon</v>
      </c>
      <c r="B367" s="87" t="s">
        <v>25</v>
      </c>
      <c r="C367" s="87" t="s">
        <v>11</v>
      </c>
      <c r="D367" s="103">
        <f t="shared" si="53"/>
        <v>0</v>
      </c>
      <c r="E367" s="103">
        <f t="shared" si="53"/>
        <v>0</v>
      </c>
      <c r="F367" s="103">
        <f t="shared" si="53"/>
        <v>0</v>
      </c>
      <c r="G367" s="103">
        <f t="shared" si="53"/>
        <v>0</v>
      </c>
      <c r="H367" s="103">
        <f t="shared" si="53"/>
        <v>0</v>
      </c>
      <c r="I367" s="49"/>
    </row>
    <row r="368" spans="1:11" s="21" customFormat="1" hidden="1" x14ac:dyDescent="0.3">
      <c r="A368" s="26" t="str">
        <f t="shared" si="52"/>
        <v>LRET</v>
      </c>
      <c r="B368" s="87" t="s">
        <v>25</v>
      </c>
      <c r="C368" s="87" t="s">
        <v>11</v>
      </c>
      <c r="D368" s="103">
        <f t="shared" si="53"/>
        <v>0</v>
      </c>
      <c r="E368" s="103">
        <f t="shared" si="53"/>
        <v>0</v>
      </c>
      <c r="F368" s="103">
        <f t="shared" si="53"/>
        <v>0</v>
      </c>
      <c r="G368" s="103">
        <f t="shared" si="53"/>
        <v>0</v>
      </c>
      <c r="H368" s="103">
        <f t="shared" si="53"/>
        <v>0</v>
      </c>
    </row>
    <row r="369" spans="1:8" s="21" customFormat="1" hidden="1" x14ac:dyDescent="0.3">
      <c r="A369" s="26" t="str">
        <f t="shared" si="52"/>
        <v>Small scale renewable energy scheme</v>
      </c>
      <c r="B369" s="87" t="s">
        <v>25</v>
      </c>
      <c r="C369" s="87" t="s">
        <v>11</v>
      </c>
      <c r="D369" s="103">
        <f t="shared" si="53"/>
        <v>0</v>
      </c>
      <c r="E369" s="103">
        <f t="shared" si="53"/>
        <v>0</v>
      </c>
      <c r="F369" s="103">
        <f t="shared" si="53"/>
        <v>0</v>
      </c>
      <c r="G369" s="103">
        <f t="shared" si="53"/>
        <v>0</v>
      </c>
      <c r="H369" s="103">
        <f t="shared" si="53"/>
        <v>0</v>
      </c>
    </row>
    <row r="370" spans="1:8" s="21" customFormat="1" hidden="1" x14ac:dyDescent="0.3">
      <c r="A370" s="26" t="str">
        <f t="shared" si="52"/>
        <v>blank</v>
      </c>
      <c r="B370" s="87" t="s">
        <v>25</v>
      </c>
      <c r="C370" s="87" t="s">
        <v>11</v>
      </c>
      <c r="D370" s="103">
        <f t="shared" si="53"/>
        <v>0</v>
      </c>
      <c r="E370" s="103">
        <f t="shared" si="53"/>
        <v>0</v>
      </c>
      <c r="F370" s="103">
        <f t="shared" si="53"/>
        <v>0</v>
      </c>
      <c r="G370" s="103">
        <f t="shared" si="53"/>
        <v>0</v>
      </c>
      <c r="H370" s="103">
        <f t="shared" si="53"/>
        <v>0</v>
      </c>
    </row>
    <row r="371" spans="1:8" s="21" customFormat="1" hidden="1" x14ac:dyDescent="0.3">
      <c r="A371" s="26" t="str">
        <f t="shared" si="52"/>
        <v>blank</v>
      </c>
      <c r="B371" s="87" t="s">
        <v>25</v>
      </c>
      <c r="C371" s="87" t="s">
        <v>11</v>
      </c>
      <c r="D371" s="103">
        <f t="shared" si="53"/>
        <v>0</v>
      </c>
      <c r="E371" s="103">
        <f t="shared" si="53"/>
        <v>0</v>
      </c>
      <c r="F371" s="103">
        <f t="shared" si="53"/>
        <v>0</v>
      </c>
      <c r="G371" s="103">
        <f t="shared" si="53"/>
        <v>0</v>
      </c>
      <c r="H371" s="103">
        <f t="shared" si="53"/>
        <v>0</v>
      </c>
    </row>
    <row r="372" spans="1:8" s="21" customFormat="1" hidden="1" x14ac:dyDescent="0.3">
      <c r="A372" s="44"/>
      <c r="B372" s="87"/>
      <c r="C372" s="47"/>
      <c r="D372" s="47"/>
      <c r="E372" s="47"/>
      <c r="F372" s="47"/>
      <c r="G372" s="47"/>
      <c r="H372" s="47"/>
    </row>
    <row r="373" spans="1:8" s="21" customFormat="1" hidden="1" x14ac:dyDescent="0.3">
      <c r="A373" s="40" t="str">
        <f>Dist3</f>
        <v>blank</v>
      </c>
      <c r="B373" s="87"/>
      <c r="C373" s="47"/>
      <c r="D373" s="47"/>
      <c r="E373" s="47"/>
      <c r="F373" s="47"/>
      <c r="G373" s="47"/>
      <c r="H373" s="47"/>
    </row>
    <row r="374" spans="1:8" s="21" customFormat="1" hidden="1" x14ac:dyDescent="0.3">
      <c r="A374" s="26" t="str">
        <f t="shared" ref="A374:A382" si="54">A363</f>
        <v>Retail operating Cost</v>
      </c>
      <c r="B374" s="87" t="s">
        <v>25</v>
      </c>
      <c r="C374" s="87" t="s">
        <v>11</v>
      </c>
      <c r="D374" s="103">
        <f t="shared" ref="D374:H382" si="55">IF($C804="$/mwh",D804*100/1000,IF($C804="$/kwh",D804*100,D804))</f>
        <v>0</v>
      </c>
      <c r="E374" s="103">
        <f t="shared" si="55"/>
        <v>0</v>
      </c>
      <c r="F374" s="103">
        <f t="shared" si="55"/>
        <v>0</v>
      </c>
      <c r="G374" s="103">
        <f t="shared" si="55"/>
        <v>0</v>
      </c>
      <c r="H374" s="103">
        <f t="shared" si="55"/>
        <v>0</v>
      </c>
    </row>
    <row r="375" spans="1:8" s="21" customFormat="1" hidden="1" x14ac:dyDescent="0.3">
      <c r="A375" s="26" t="str">
        <f t="shared" si="54"/>
        <v>Generation</v>
      </c>
      <c r="B375" s="87" t="s">
        <v>25</v>
      </c>
      <c r="C375" s="87" t="s">
        <v>11</v>
      </c>
      <c r="D375" s="103">
        <f t="shared" si="55"/>
        <v>0</v>
      </c>
      <c r="E375" s="103">
        <f t="shared" si="55"/>
        <v>0</v>
      </c>
      <c r="F375" s="103">
        <f t="shared" si="55"/>
        <v>0</v>
      </c>
      <c r="G375" s="103">
        <f t="shared" si="55"/>
        <v>0</v>
      </c>
      <c r="H375" s="103">
        <f t="shared" si="55"/>
        <v>0</v>
      </c>
    </row>
    <row r="376" spans="1:8" s="21" customFormat="1" hidden="1" x14ac:dyDescent="0.3">
      <c r="A376" s="26" t="str">
        <f t="shared" si="54"/>
        <v xml:space="preserve">Losses </v>
      </c>
      <c r="B376" s="87" t="s">
        <v>25</v>
      </c>
      <c r="C376" s="87" t="s">
        <v>11</v>
      </c>
      <c r="D376" s="103">
        <f t="shared" si="55"/>
        <v>0</v>
      </c>
      <c r="E376" s="103">
        <f t="shared" si="55"/>
        <v>0</v>
      </c>
      <c r="F376" s="103">
        <f t="shared" si="55"/>
        <v>0</v>
      </c>
      <c r="G376" s="103">
        <f t="shared" si="55"/>
        <v>0</v>
      </c>
      <c r="H376" s="103">
        <f t="shared" si="55"/>
        <v>0</v>
      </c>
    </row>
    <row r="377" spans="1:8" s="21" customFormat="1" hidden="1" x14ac:dyDescent="0.3">
      <c r="A377" s="26" t="str">
        <f t="shared" si="54"/>
        <v>Market Fees</v>
      </c>
      <c r="B377" s="87" t="s">
        <v>25</v>
      </c>
      <c r="C377" s="87" t="s">
        <v>11</v>
      </c>
      <c r="D377" s="103">
        <f t="shared" si="55"/>
        <v>0</v>
      </c>
      <c r="E377" s="103">
        <f t="shared" si="55"/>
        <v>0</v>
      </c>
      <c r="F377" s="103">
        <f t="shared" si="55"/>
        <v>0</v>
      </c>
      <c r="G377" s="103">
        <f t="shared" si="55"/>
        <v>0</v>
      </c>
      <c r="H377" s="103">
        <f t="shared" si="55"/>
        <v>0</v>
      </c>
    </row>
    <row r="378" spans="1:8" s="21" customFormat="1" hidden="1" x14ac:dyDescent="0.3">
      <c r="A378" s="26" t="str">
        <f t="shared" si="54"/>
        <v>Carbon</v>
      </c>
      <c r="B378" s="87" t="s">
        <v>25</v>
      </c>
      <c r="C378" s="87" t="s">
        <v>11</v>
      </c>
      <c r="D378" s="103">
        <f t="shared" si="55"/>
        <v>0</v>
      </c>
      <c r="E378" s="103">
        <f t="shared" si="55"/>
        <v>0</v>
      </c>
      <c r="F378" s="103">
        <f t="shared" si="55"/>
        <v>0</v>
      </c>
      <c r="G378" s="103">
        <f t="shared" si="55"/>
        <v>0</v>
      </c>
      <c r="H378" s="103">
        <f t="shared" si="55"/>
        <v>0</v>
      </c>
    </row>
    <row r="379" spans="1:8" s="21" customFormat="1" hidden="1" x14ac:dyDescent="0.3">
      <c r="A379" s="26" t="str">
        <f t="shared" si="54"/>
        <v>LRET</v>
      </c>
      <c r="B379" s="87" t="s">
        <v>25</v>
      </c>
      <c r="C379" s="87" t="s">
        <v>11</v>
      </c>
      <c r="D379" s="103">
        <f t="shared" si="55"/>
        <v>0</v>
      </c>
      <c r="E379" s="103">
        <f t="shared" si="55"/>
        <v>0</v>
      </c>
      <c r="F379" s="103">
        <f t="shared" si="55"/>
        <v>0</v>
      </c>
      <c r="G379" s="103">
        <f t="shared" si="55"/>
        <v>0</v>
      </c>
      <c r="H379" s="103">
        <f t="shared" si="55"/>
        <v>0</v>
      </c>
    </row>
    <row r="380" spans="1:8" s="21" customFormat="1" hidden="1" x14ac:dyDescent="0.3">
      <c r="A380" s="26" t="str">
        <f t="shared" si="54"/>
        <v>Small scale renewable energy scheme</v>
      </c>
      <c r="B380" s="87" t="s">
        <v>25</v>
      </c>
      <c r="C380" s="87" t="s">
        <v>11</v>
      </c>
      <c r="D380" s="103">
        <f t="shared" si="55"/>
        <v>0</v>
      </c>
      <c r="E380" s="103">
        <f t="shared" si="55"/>
        <v>0</v>
      </c>
      <c r="F380" s="103">
        <f t="shared" si="55"/>
        <v>0</v>
      </c>
      <c r="G380" s="103">
        <f t="shared" si="55"/>
        <v>0</v>
      </c>
      <c r="H380" s="103">
        <f t="shared" si="55"/>
        <v>0</v>
      </c>
    </row>
    <row r="381" spans="1:8" s="21" customFormat="1" hidden="1" x14ac:dyDescent="0.3">
      <c r="A381" s="26" t="str">
        <f t="shared" si="54"/>
        <v>blank</v>
      </c>
      <c r="B381" s="87" t="s">
        <v>25</v>
      </c>
      <c r="C381" s="87" t="s">
        <v>11</v>
      </c>
      <c r="D381" s="103">
        <f t="shared" si="55"/>
        <v>0</v>
      </c>
      <c r="E381" s="103">
        <f t="shared" si="55"/>
        <v>0</v>
      </c>
      <c r="F381" s="103">
        <f t="shared" si="55"/>
        <v>0</v>
      </c>
      <c r="G381" s="103">
        <f t="shared" si="55"/>
        <v>0</v>
      </c>
      <c r="H381" s="103">
        <f t="shared" si="55"/>
        <v>0</v>
      </c>
    </row>
    <row r="382" spans="1:8" s="21" customFormat="1" hidden="1" x14ac:dyDescent="0.3">
      <c r="A382" s="26" t="str">
        <f t="shared" si="54"/>
        <v>blank</v>
      </c>
      <c r="B382" s="87" t="s">
        <v>25</v>
      </c>
      <c r="C382" s="87" t="s">
        <v>11</v>
      </c>
      <c r="D382" s="103">
        <f t="shared" si="55"/>
        <v>0</v>
      </c>
      <c r="E382" s="103">
        <f t="shared" si="55"/>
        <v>0</v>
      </c>
      <c r="F382" s="103">
        <f t="shared" si="55"/>
        <v>0</v>
      </c>
      <c r="G382" s="103">
        <f t="shared" si="55"/>
        <v>0</v>
      </c>
      <c r="H382" s="103">
        <f t="shared" si="55"/>
        <v>0</v>
      </c>
    </row>
    <row r="383" spans="1:8" hidden="1" x14ac:dyDescent="0.3">
      <c r="B383" s="47"/>
      <c r="C383" s="47"/>
      <c r="D383" s="47"/>
      <c r="E383" s="47"/>
      <c r="F383" s="47"/>
      <c r="G383" s="47"/>
      <c r="H383" s="47"/>
    </row>
    <row r="384" spans="1:8" hidden="1" x14ac:dyDescent="0.3">
      <c r="A384" s="40" t="str">
        <f>Dist4</f>
        <v>blank</v>
      </c>
      <c r="B384" s="87"/>
      <c r="C384" s="87"/>
      <c r="D384" s="87"/>
      <c r="E384" s="87"/>
      <c r="F384" s="87"/>
      <c r="G384" s="87"/>
      <c r="H384" s="87"/>
    </row>
    <row r="385" spans="1:8" hidden="1" x14ac:dyDescent="0.3">
      <c r="A385" s="26" t="str">
        <f t="shared" ref="A385:A393" si="56">A374</f>
        <v>Retail operating Cost</v>
      </c>
      <c r="B385" s="87" t="s">
        <v>25</v>
      </c>
      <c r="C385" s="87" t="s">
        <v>11</v>
      </c>
      <c r="D385" s="103">
        <f t="shared" ref="D385:H393" si="57">IF($C815="$/mwh",D815*100/1000,IF($C815="$/kwh",D815*100,D815))</f>
        <v>0</v>
      </c>
      <c r="E385" s="103">
        <f t="shared" si="57"/>
        <v>0</v>
      </c>
      <c r="F385" s="103">
        <f t="shared" si="57"/>
        <v>0</v>
      </c>
      <c r="G385" s="103">
        <f t="shared" si="57"/>
        <v>0</v>
      </c>
      <c r="H385" s="103">
        <f t="shared" si="57"/>
        <v>0</v>
      </c>
    </row>
    <row r="386" spans="1:8" hidden="1" x14ac:dyDescent="0.3">
      <c r="A386" s="26" t="str">
        <f t="shared" si="56"/>
        <v>Generation</v>
      </c>
      <c r="B386" s="87" t="s">
        <v>25</v>
      </c>
      <c r="C386" s="87" t="s">
        <v>11</v>
      </c>
      <c r="D386" s="103">
        <f t="shared" si="57"/>
        <v>0</v>
      </c>
      <c r="E386" s="103">
        <f t="shared" si="57"/>
        <v>0</v>
      </c>
      <c r="F386" s="103">
        <f t="shared" si="57"/>
        <v>0</v>
      </c>
      <c r="G386" s="103">
        <f t="shared" si="57"/>
        <v>0</v>
      </c>
      <c r="H386" s="103">
        <f t="shared" si="57"/>
        <v>0</v>
      </c>
    </row>
    <row r="387" spans="1:8" hidden="1" x14ac:dyDescent="0.3">
      <c r="A387" s="26" t="str">
        <f t="shared" si="56"/>
        <v xml:space="preserve">Losses </v>
      </c>
      <c r="B387" s="87" t="s">
        <v>25</v>
      </c>
      <c r="C387" s="87" t="s">
        <v>11</v>
      </c>
      <c r="D387" s="103">
        <f t="shared" si="57"/>
        <v>0</v>
      </c>
      <c r="E387" s="103">
        <f t="shared" si="57"/>
        <v>0</v>
      </c>
      <c r="F387" s="103">
        <f t="shared" si="57"/>
        <v>0</v>
      </c>
      <c r="G387" s="103">
        <f t="shared" si="57"/>
        <v>0</v>
      </c>
      <c r="H387" s="103">
        <f t="shared" si="57"/>
        <v>0</v>
      </c>
    </row>
    <row r="388" spans="1:8" hidden="1" x14ac:dyDescent="0.3">
      <c r="A388" s="26" t="str">
        <f t="shared" si="56"/>
        <v>Market Fees</v>
      </c>
      <c r="B388" s="87" t="s">
        <v>25</v>
      </c>
      <c r="C388" s="87" t="s">
        <v>11</v>
      </c>
      <c r="D388" s="103">
        <f t="shared" si="57"/>
        <v>0</v>
      </c>
      <c r="E388" s="103">
        <f t="shared" si="57"/>
        <v>0</v>
      </c>
      <c r="F388" s="103">
        <f t="shared" si="57"/>
        <v>0</v>
      </c>
      <c r="G388" s="103">
        <f t="shared" si="57"/>
        <v>0</v>
      </c>
      <c r="H388" s="103">
        <f t="shared" si="57"/>
        <v>0</v>
      </c>
    </row>
    <row r="389" spans="1:8" hidden="1" x14ac:dyDescent="0.3">
      <c r="A389" s="26" t="str">
        <f t="shared" si="56"/>
        <v>Carbon</v>
      </c>
      <c r="B389" s="87" t="s">
        <v>25</v>
      </c>
      <c r="C389" s="87" t="s">
        <v>11</v>
      </c>
      <c r="D389" s="103">
        <f t="shared" si="57"/>
        <v>0</v>
      </c>
      <c r="E389" s="103">
        <f t="shared" si="57"/>
        <v>0</v>
      </c>
      <c r="F389" s="103">
        <f t="shared" si="57"/>
        <v>0</v>
      </c>
      <c r="G389" s="103">
        <f t="shared" si="57"/>
        <v>0</v>
      </c>
      <c r="H389" s="103">
        <f t="shared" si="57"/>
        <v>0</v>
      </c>
    </row>
    <row r="390" spans="1:8" hidden="1" x14ac:dyDescent="0.3">
      <c r="A390" s="26" t="str">
        <f t="shared" si="56"/>
        <v>LRET</v>
      </c>
      <c r="B390" s="87" t="s">
        <v>25</v>
      </c>
      <c r="C390" s="87" t="s">
        <v>11</v>
      </c>
      <c r="D390" s="103">
        <f t="shared" si="57"/>
        <v>0</v>
      </c>
      <c r="E390" s="103">
        <f t="shared" si="57"/>
        <v>0</v>
      </c>
      <c r="F390" s="103">
        <f t="shared" si="57"/>
        <v>0</v>
      </c>
      <c r="G390" s="103">
        <f t="shared" si="57"/>
        <v>0</v>
      </c>
      <c r="H390" s="103">
        <f t="shared" si="57"/>
        <v>0</v>
      </c>
    </row>
    <row r="391" spans="1:8" hidden="1" x14ac:dyDescent="0.3">
      <c r="A391" s="26" t="str">
        <f t="shared" si="56"/>
        <v>Small scale renewable energy scheme</v>
      </c>
      <c r="B391" s="87" t="s">
        <v>25</v>
      </c>
      <c r="C391" s="87" t="s">
        <v>11</v>
      </c>
      <c r="D391" s="103">
        <f t="shared" si="57"/>
        <v>0</v>
      </c>
      <c r="E391" s="103">
        <f t="shared" si="57"/>
        <v>0</v>
      </c>
      <c r="F391" s="103">
        <f t="shared" si="57"/>
        <v>0</v>
      </c>
      <c r="G391" s="103">
        <f t="shared" si="57"/>
        <v>0</v>
      </c>
      <c r="H391" s="103">
        <f t="shared" si="57"/>
        <v>0</v>
      </c>
    </row>
    <row r="392" spans="1:8" hidden="1" x14ac:dyDescent="0.3">
      <c r="A392" s="26" t="str">
        <f t="shared" si="56"/>
        <v>blank</v>
      </c>
      <c r="B392" s="87" t="s">
        <v>25</v>
      </c>
      <c r="C392" s="87" t="s">
        <v>11</v>
      </c>
      <c r="D392" s="103">
        <f t="shared" si="57"/>
        <v>0</v>
      </c>
      <c r="E392" s="103">
        <f t="shared" si="57"/>
        <v>0</v>
      </c>
      <c r="F392" s="103">
        <f t="shared" si="57"/>
        <v>0</v>
      </c>
      <c r="G392" s="103">
        <f t="shared" si="57"/>
        <v>0</v>
      </c>
      <c r="H392" s="103">
        <f t="shared" si="57"/>
        <v>0</v>
      </c>
    </row>
    <row r="393" spans="1:8" hidden="1" x14ac:dyDescent="0.3">
      <c r="A393" s="26" t="str">
        <f t="shared" si="56"/>
        <v>blank</v>
      </c>
      <c r="B393" s="87" t="s">
        <v>25</v>
      </c>
      <c r="C393" s="87" t="s">
        <v>11</v>
      </c>
      <c r="D393" s="103">
        <f t="shared" si="57"/>
        <v>0</v>
      </c>
      <c r="E393" s="103">
        <f t="shared" si="57"/>
        <v>0</v>
      </c>
      <c r="F393" s="103">
        <f t="shared" si="57"/>
        <v>0</v>
      </c>
      <c r="G393" s="103">
        <f t="shared" si="57"/>
        <v>0</v>
      </c>
      <c r="H393" s="103">
        <f t="shared" si="57"/>
        <v>0</v>
      </c>
    </row>
    <row r="394" spans="1:8" ht="13.5" hidden="1" x14ac:dyDescent="0.25">
      <c r="G394" s="50"/>
      <c r="H394" s="50"/>
    </row>
    <row r="395" spans="1:8" hidden="1" x14ac:dyDescent="0.3">
      <c r="A395" s="40" t="str">
        <f>Dist5</f>
        <v>blank</v>
      </c>
      <c r="B395" s="87"/>
      <c r="C395" s="87"/>
      <c r="D395" s="87"/>
      <c r="E395" s="87"/>
      <c r="F395" s="87"/>
      <c r="G395" s="87"/>
      <c r="H395" s="87"/>
    </row>
    <row r="396" spans="1:8" hidden="1" x14ac:dyDescent="0.3">
      <c r="A396" s="26" t="str">
        <f t="shared" ref="A396:A404" si="58">A385</f>
        <v>Retail operating Cost</v>
      </c>
      <c r="B396" s="87" t="s">
        <v>25</v>
      </c>
      <c r="C396" s="87" t="s">
        <v>11</v>
      </c>
      <c r="D396" s="103">
        <f t="shared" ref="D396:H404" si="59">IF($C826="$/mwh",D826*100/1000,IF($C826="$/kwh",D826*100,D826))</f>
        <v>0</v>
      </c>
      <c r="E396" s="103">
        <f t="shared" si="59"/>
        <v>0</v>
      </c>
      <c r="F396" s="103">
        <f t="shared" si="59"/>
        <v>0</v>
      </c>
      <c r="G396" s="103">
        <f t="shared" si="59"/>
        <v>0</v>
      </c>
      <c r="H396" s="103">
        <f t="shared" si="59"/>
        <v>0</v>
      </c>
    </row>
    <row r="397" spans="1:8" hidden="1" x14ac:dyDescent="0.3">
      <c r="A397" s="26" t="str">
        <f t="shared" si="58"/>
        <v>Generation</v>
      </c>
      <c r="B397" s="87" t="s">
        <v>25</v>
      </c>
      <c r="C397" s="87" t="s">
        <v>11</v>
      </c>
      <c r="D397" s="103">
        <f t="shared" si="59"/>
        <v>0</v>
      </c>
      <c r="E397" s="103">
        <f t="shared" si="59"/>
        <v>0</v>
      </c>
      <c r="F397" s="103">
        <f t="shared" si="59"/>
        <v>0</v>
      </c>
      <c r="G397" s="103">
        <f t="shared" si="59"/>
        <v>0</v>
      </c>
      <c r="H397" s="103">
        <f t="shared" si="59"/>
        <v>0</v>
      </c>
    </row>
    <row r="398" spans="1:8" hidden="1" x14ac:dyDescent="0.3">
      <c r="A398" s="26" t="str">
        <f t="shared" si="58"/>
        <v xml:space="preserve">Losses </v>
      </c>
      <c r="B398" s="87" t="s">
        <v>25</v>
      </c>
      <c r="C398" s="87" t="s">
        <v>11</v>
      </c>
      <c r="D398" s="103">
        <f t="shared" si="59"/>
        <v>0</v>
      </c>
      <c r="E398" s="103">
        <f t="shared" si="59"/>
        <v>0</v>
      </c>
      <c r="F398" s="103">
        <f t="shared" si="59"/>
        <v>0</v>
      </c>
      <c r="G398" s="103">
        <f t="shared" si="59"/>
        <v>0</v>
      </c>
      <c r="H398" s="103">
        <f t="shared" si="59"/>
        <v>0</v>
      </c>
    </row>
    <row r="399" spans="1:8" hidden="1" x14ac:dyDescent="0.3">
      <c r="A399" s="26" t="str">
        <f t="shared" si="58"/>
        <v>Market Fees</v>
      </c>
      <c r="B399" s="87" t="s">
        <v>25</v>
      </c>
      <c r="C399" s="87" t="s">
        <v>11</v>
      </c>
      <c r="D399" s="103">
        <f t="shared" si="59"/>
        <v>0</v>
      </c>
      <c r="E399" s="103">
        <f t="shared" si="59"/>
        <v>0</v>
      </c>
      <c r="F399" s="103">
        <f t="shared" si="59"/>
        <v>0</v>
      </c>
      <c r="G399" s="103">
        <f t="shared" si="59"/>
        <v>0</v>
      </c>
      <c r="H399" s="103">
        <f t="shared" si="59"/>
        <v>0</v>
      </c>
    </row>
    <row r="400" spans="1:8" hidden="1" x14ac:dyDescent="0.3">
      <c r="A400" s="26" t="str">
        <f t="shared" si="58"/>
        <v>Carbon</v>
      </c>
      <c r="B400" s="87" t="s">
        <v>25</v>
      </c>
      <c r="C400" s="87" t="s">
        <v>11</v>
      </c>
      <c r="D400" s="103">
        <f t="shared" si="59"/>
        <v>0</v>
      </c>
      <c r="E400" s="103">
        <f t="shared" si="59"/>
        <v>0</v>
      </c>
      <c r="F400" s="103">
        <f t="shared" si="59"/>
        <v>0</v>
      </c>
      <c r="G400" s="103">
        <f t="shared" si="59"/>
        <v>0</v>
      </c>
      <c r="H400" s="103">
        <f t="shared" si="59"/>
        <v>0</v>
      </c>
    </row>
    <row r="401" spans="1:9" hidden="1" x14ac:dyDescent="0.3">
      <c r="A401" s="26" t="str">
        <f t="shared" si="58"/>
        <v>LRET</v>
      </c>
      <c r="B401" s="87" t="s">
        <v>25</v>
      </c>
      <c r="C401" s="87" t="s">
        <v>11</v>
      </c>
      <c r="D401" s="103">
        <f t="shared" si="59"/>
        <v>0</v>
      </c>
      <c r="E401" s="103">
        <f t="shared" si="59"/>
        <v>0</v>
      </c>
      <c r="F401" s="103">
        <f t="shared" si="59"/>
        <v>0</v>
      </c>
      <c r="G401" s="103">
        <f t="shared" si="59"/>
        <v>0</v>
      </c>
      <c r="H401" s="103">
        <f t="shared" si="59"/>
        <v>0</v>
      </c>
    </row>
    <row r="402" spans="1:9" hidden="1" x14ac:dyDescent="0.3">
      <c r="A402" s="26" t="str">
        <f t="shared" si="58"/>
        <v>Small scale renewable energy scheme</v>
      </c>
      <c r="B402" s="87" t="s">
        <v>25</v>
      </c>
      <c r="C402" s="87" t="s">
        <v>11</v>
      </c>
      <c r="D402" s="103">
        <f t="shared" si="59"/>
        <v>0</v>
      </c>
      <c r="E402" s="103">
        <f t="shared" si="59"/>
        <v>0</v>
      </c>
      <c r="F402" s="103">
        <f t="shared" si="59"/>
        <v>0</v>
      </c>
      <c r="G402" s="103">
        <f t="shared" si="59"/>
        <v>0</v>
      </c>
      <c r="H402" s="103">
        <f t="shared" si="59"/>
        <v>0</v>
      </c>
    </row>
    <row r="403" spans="1:9" hidden="1" x14ac:dyDescent="0.3">
      <c r="A403" s="26" t="str">
        <f t="shared" si="58"/>
        <v>blank</v>
      </c>
      <c r="B403" s="87" t="s">
        <v>25</v>
      </c>
      <c r="C403" s="87" t="s">
        <v>11</v>
      </c>
      <c r="D403" s="103">
        <f t="shared" si="59"/>
        <v>0</v>
      </c>
      <c r="E403" s="103">
        <f t="shared" si="59"/>
        <v>0</v>
      </c>
      <c r="F403" s="103">
        <f t="shared" si="59"/>
        <v>0</v>
      </c>
      <c r="G403" s="103">
        <f t="shared" si="59"/>
        <v>0</v>
      </c>
      <c r="H403" s="103">
        <f t="shared" si="59"/>
        <v>0</v>
      </c>
    </row>
    <row r="404" spans="1:9" hidden="1" x14ac:dyDescent="0.3">
      <c r="A404" s="26" t="str">
        <f t="shared" si="58"/>
        <v>blank</v>
      </c>
      <c r="B404" s="87" t="s">
        <v>25</v>
      </c>
      <c r="C404" s="87" t="s">
        <v>11</v>
      </c>
      <c r="D404" s="103">
        <f t="shared" si="59"/>
        <v>0</v>
      </c>
      <c r="E404" s="103">
        <f t="shared" si="59"/>
        <v>0</v>
      </c>
      <c r="F404" s="103">
        <f t="shared" si="59"/>
        <v>0</v>
      </c>
      <c r="G404" s="103">
        <f t="shared" si="59"/>
        <v>0</v>
      </c>
      <c r="H404" s="103">
        <f t="shared" si="59"/>
        <v>0</v>
      </c>
    </row>
    <row r="405" spans="1:9" s="87" customFormat="1" x14ac:dyDescent="0.3">
      <c r="B405" s="96"/>
      <c r="C405" s="96"/>
      <c r="D405" s="96"/>
      <c r="E405" s="96"/>
      <c r="F405" s="96"/>
      <c r="G405" s="96"/>
      <c r="H405" s="96"/>
    </row>
    <row r="406" spans="1:9" s="87" customFormat="1" x14ac:dyDescent="0.3">
      <c r="A406" s="8" t="s">
        <v>124</v>
      </c>
      <c r="B406" s="96"/>
      <c r="C406" s="96"/>
      <c r="D406" s="96"/>
      <c r="E406" s="96"/>
      <c r="F406" s="96"/>
      <c r="G406" s="96"/>
      <c r="H406" s="96"/>
    </row>
    <row r="407" spans="1:9" s="87" customFormat="1" x14ac:dyDescent="0.3">
      <c r="A407" s="8"/>
      <c r="B407" s="96"/>
      <c r="C407" s="96"/>
      <c r="D407" s="96"/>
      <c r="E407" s="96"/>
      <c r="F407" s="96"/>
      <c r="G407" s="96"/>
      <c r="H407" s="96"/>
    </row>
    <row r="408" spans="1:9" s="87" customFormat="1" x14ac:dyDescent="0.3">
      <c r="A408" s="8" t="s">
        <v>74</v>
      </c>
      <c r="B408" s="96"/>
      <c r="C408" s="96"/>
      <c r="D408" s="96"/>
      <c r="E408" s="96"/>
      <c r="F408" s="96"/>
      <c r="G408" s="105"/>
      <c r="H408" s="96"/>
    </row>
    <row r="409" spans="1:9" s="87" customFormat="1" x14ac:dyDescent="0.3">
      <c r="A409" s="96" t="s">
        <v>120</v>
      </c>
      <c r="B409" s="96" t="s">
        <v>37</v>
      </c>
      <c r="C409" s="87" t="s">
        <v>11</v>
      </c>
      <c r="D409" s="96"/>
      <c r="E409" s="96"/>
      <c r="F409" s="96"/>
      <c r="G409" s="94">
        <f>IF(F355&gt;0, IF('Input Global'!$B$60="frontier number",'Input Frontier'!G8,IF('Input Global'!$B$60="CPI",$F$355*(1+inflation),$F$355*('Input Frontier'!G8/'Input Frontier'!F8))),0)</f>
        <v>0</v>
      </c>
      <c r="H409" s="94">
        <f>IF(F355&gt;0, IF('Input Global'!$B$60="frontier number",'Input Frontier'!H8,IF('Input Global'!$B$60="CPI",$F$355*(1+inflation)^2,$F$355*('Input Frontier'!H8/'Input Frontier'!G8))),0)</f>
        <v>0</v>
      </c>
      <c r="I409" s="28"/>
    </row>
    <row r="410" spans="1:9" s="87" customFormat="1" x14ac:dyDescent="0.3">
      <c r="F410" s="38"/>
    </row>
    <row r="411" spans="1:9" s="87" customFormat="1" x14ac:dyDescent="0.3">
      <c r="A411" s="97" t="str">
        <f>Dist1&amp;" region"</f>
        <v>Northern Territory region</v>
      </c>
      <c r="B411" s="96"/>
      <c r="D411" s="96"/>
      <c r="E411" s="96"/>
      <c r="F411" s="98"/>
      <c r="G411" s="96"/>
      <c r="H411" s="96"/>
    </row>
    <row r="412" spans="1:9" s="87" customFormat="1" x14ac:dyDescent="0.3">
      <c r="A412" s="87" t="str">
        <f ca="1">'Calc (Jurisdiction)'!$B$2</f>
        <v>Calc (Jurisdiction)</v>
      </c>
      <c r="B412" s="136" t="s">
        <v>37</v>
      </c>
      <c r="C412" s="87" t="s">
        <v>11</v>
      </c>
      <c r="D412" s="96"/>
      <c r="E412" s="96"/>
      <c r="F412" s="98"/>
      <c r="G412" s="142">
        <v>0</v>
      </c>
      <c r="H412" s="142">
        <f>G783*(1+inflation)</f>
        <v>20.799771780821914</v>
      </c>
    </row>
    <row r="413" spans="1:9" s="87" customFormat="1" hidden="1" x14ac:dyDescent="0.3">
      <c r="A413" s="87" t="e">
        <f>#REF!</f>
        <v>#REF!</v>
      </c>
      <c r="B413" s="96" t="s">
        <v>37</v>
      </c>
      <c r="C413" s="87" t="s">
        <v>11</v>
      </c>
      <c r="D413" s="96"/>
      <c r="E413" s="96"/>
      <c r="F413" s="96"/>
      <c r="G413" s="94">
        <f>IF('Input Global'!$B$60="frontier number",'Input Frontier'!G12,IF('Input Global'!$B$60="CPI",$F$353*(1+inflation),$F$353*('Input Frontier'!G12/'Input Frontier'!F12)))</f>
        <v>14.605690909090907</v>
      </c>
      <c r="H413" s="94">
        <f>IF('Input Global'!$B$60="frontier number",'Input Frontier'!H12,IF('Input Global'!$B$60="CPI",$F$353*(1+inflation)^2,G413*('Input Frontier'!H12/'Input Frontier'!G12)))</f>
        <v>14.970833181818179</v>
      </c>
    </row>
    <row r="414" spans="1:9" s="87" customFormat="1" hidden="1" x14ac:dyDescent="0.3">
      <c r="A414" s="87" t="e">
        <f>#REF!</f>
        <v>#REF!</v>
      </c>
      <c r="B414" s="96" t="s">
        <v>37</v>
      </c>
      <c r="C414" s="87" t="s">
        <v>11</v>
      </c>
      <c r="D414" s="96"/>
      <c r="E414" s="96"/>
      <c r="F414" s="96"/>
      <c r="G414" s="94">
        <f>IF('Input Global'!$B$60="frontier number",'Input Frontier'!G13,IF('Input Global'!$B$60="CPI",$F$353*(1+inflation),$F$353*('Input Frontier'!G13/'Input Frontier'!F13)))</f>
        <v>14.605690909090907</v>
      </c>
      <c r="H414" s="94">
        <f>IF('Input Global'!$B$60="frontier number",'Input Frontier'!H13,IF('Input Global'!$B$60="CPI",$F$353*(1+inflation)^2,G414*('Input Frontier'!H13/'Input Frontier'!G13)))</f>
        <v>14.970833181818179</v>
      </c>
    </row>
    <row r="415" spans="1:9" s="87" customFormat="1" hidden="1" x14ac:dyDescent="0.3">
      <c r="A415" s="87" t="e">
        <f>#REF!</f>
        <v>#REF!</v>
      </c>
      <c r="B415" s="96" t="s">
        <v>37</v>
      </c>
      <c r="C415" s="87" t="s">
        <v>11</v>
      </c>
      <c r="D415" s="96"/>
      <c r="E415" s="96"/>
      <c r="F415" s="96"/>
      <c r="G415" s="94">
        <f>IF('Input Global'!$B$60="frontier number",'Input Frontier'!G14,IF('Input Global'!$B$60="CPI",$F$353*(1+inflation),$F$353*('Input Frontier'!G14/'Input Frontier'!F14)))</f>
        <v>14.605690909090907</v>
      </c>
      <c r="H415" s="94">
        <f>IF('Input Global'!$B$60="frontier number",'Input Frontier'!H14,IF('Input Global'!$B$60="CPI",$F$353*(1+inflation)^2,G415*('Input Frontier'!H14/'Input Frontier'!G14)))</f>
        <v>14.970833181818179</v>
      </c>
    </row>
    <row r="416" spans="1:9" s="87" customFormat="1" hidden="1" x14ac:dyDescent="0.3">
      <c r="A416" s="87" t="e">
        <f>#REF!</f>
        <v>#REF!</v>
      </c>
      <c r="B416" s="96" t="s">
        <v>37</v>
      </c>
      <c r="C416" s="87" t="s">
        <v>11</v>
      </c>
      <c r="D416" s="96"/>
      <c r="E416" s="96"/>
      <c r="F416" s="96"/>
      <c r="G416" s="94">
        <f>IF('Input Global'!$B$60="frontier number",'Input Frontier'!G15,IF('Input Global'!$B$60="CPI",$F$353*(1+inflation),$F$353*('Input Frontier'!G15/'Input Frontier'!F15)))</f>
        <v>14.605690909090907</v>
      </c>
      <c r="H416" s="94">
        <f>IF('Input Global'!$B$60="frontier number",'Input Frontier'!H15,IF('Input Global'!$B$60="CPI",$F$353*(1+inflation)^2,G416*('Input Frontier'!H15/'Input Frontier'!G15)))</f>
        <v>14.970833181818179</v>
      </c>
    </row>
    <row r="417" spans="1:8" s="87" customFormat="1" hidden="1" x14ac:dyDescent="0.3">
      <c r="A417" s="96"/>
      <c r="F417" s="99"/>
      <c r="G417" s="100"/>
      <c r="H417" s="100"/>
    </row>
    <row r="418" spans="1:8" s="87" customFormat="1" hidden="1" x14ac:dyDescent="0.3">
      <c r="A418" s="40" t="str">
        <f>Dist2</f>
        <v>blank</v>
      </c>
      <c r="F418" s="99"/>
    </row>
    <row r="419" spans="1:8" s="87" customFormat="1" hidden="1" x14ac:dyDescent="0.3">
      <c r="A419" s="87" t="str">
        <f ca="1">'Calc (Jurisdiction)'!$B$2</f>
        <v>Calc (Jurisdiction)</v>
      </c>
      <c r="B419" s="136" t="s">
        <v>37</v>
      </c>
      <c r="C419" s="87" t="s">
        <v>11</v>
      </c>
      <c r="F419" s="99"/>
      <c r="G419" s="135"/>
      <c r="H419" s="135"/>
    </row>
    <row r="420" spans="1:8" s="87" customFormat="1" hidden="1" x14ac:dyDescent="0.3">
      <c r="A420" s="87" t="e">
        <f>#REF!</f>
        <v>#REF!</v>
      </c>
      <c r="B420" s="96" t="s">
        <v>37</v>
      </c>
      <c r="C420" s="87" t="s">
        <v>11</v>
      </c>
      <c r="D420" s="96"/>
      <c r="E420" s="96"/>
      <c r="F420" s="99"/>
      <c r="G420" s="94">
        <f>IF('Input Global'!$B$60="frontier number",'Input Frontier'!G18,IF('Input Global'!$B$60="CPI",$F$364*(1+inflation),$F$364*('Input Frontier'!G18/'Input Frontier'!F18)))</f>
        <v>0</v>
      </c>
      <c r="H420" s="94">
        <f>IF('Input Global'!$B$60="frontier number",'Input Frontier'!H18,IF('Input Global'!$B$60="CPI",$F$364*(1+inflation)^2,G420*('Input Frontier'!H18/'Input Frontier'!G18)))</f>
        <v>0</v>
      </c>
    </row>
    <row r="421" spans="1:8" s="87" customFormat="1" hidden="1" x14ac:dyDescent="0.3">
      <c r="A421" s="87" t="e">
        <f>#REF!</f>
        <v>#REF!</v>
      </c>
      <c r="B421" s="96" t="s">
        <v>37</v>
      </c>
      <c r="C421" s="87" t="s">
        <v>11</v>
      </c>
      <c r="D421" s="96"/>
      <c r="E421" s="96"/>
      <c r="F421" s="99"/>
      <c r="G421" s="94">
        <f>IF('Input Global'!$B$60="frontier number",'Input Frontier'!G19,IF('Input Global'!$B$60="CPI",$F$364*(1+inflation),$F$364*('Input Frontier'!G19/'Input Frontier'!F19)))</f>
        <v>0</v>
      </c>
      <c r="H421" s="94">
        <f>IF('Input Global'!$B$60="frontier number",'Input Frontier'!H19,IF('Input Global'!$B$60="CPI",$F$364*(1+inflation)^2,G421*('Input Frontier'!H19/'Input Frontier'!G19)))</f>
        <v>0</v>
      </c>
    </row>
    <row r="422" spans="1:8" s="87" customFormat="1" ht="16.5" hidden="1" customHeight="1" x14ac:dyDescent="0.3">
      <c r="A422" s="87" t="e">
        <f>#REF!</f>
        <v>#REF!</v>
      </c>
      <c r="B422" s="96" t="s">
        <v>37</v>
      </c>
      <c r="C422" s="87" t="s">
        <v>11</v>
      </c>
      <c r="D422" s="96"/>
      <c r="E422" s="96"/>
      <c r="F422" s="99"/>
      <c r="G422" s="94">
        <f>IF('Input Global'!$B$60="frontier number",'Input Frontier'!G20,IF('Input Global'!$B$60="CPI",$F$364*(1+inflation),$F$364*('Input Frontier'!G20/'Input Frontier'!F20)))</f>
        <v>0</v>
      </c>
      <c r="H422" s="94">
        <f>IF('Input Global'!$B$60="frontier number",'Input Frontier'!H20,IF('Input Global'!$B$60="CPI",$F$364*(1+inflation)^2,G422*('Input Frontier'!H20/'Input Frontier'!G20)))</f>
        <v>0</v>
      </c>
    </row>
    <row r="423" spans="1:8" s="87" customFormat="1" hidden="1" x14ac:dyDescent="0.3">
      <c r="A423" s="87" t="e">
        <f>#REF!</f>
        <v>#REF!</v>
      </c>
      <c r="B423" s="96" t="s">
        <v>37</v>
      </c>
      <c r="C423" s="87" t="s">
        <v>11</v>
      </c>
      <c r="D423" s="96"/>
      <c r="E423" s="96"/>
      <c r="F423" s="99"/>
      <c r="G423" s="94">
        <f>IF('Input Global'!$B$60="frontier number",'Input Frontier'!G21,IF('Input Global'!$B$60="CPI",$F$364*(1+inflation),$F$364*('Input Frontier'!G21/'Input Frontier'!F21)))</f>
        <v>0</v>
      </c>
      <c r="H423" s="94">
        <f>IF('Input Global'!$B$60="frontier number",'Input Frontier'!H21,IF('Input Global'!$B$60="CPI",$F$364*(1+inflation)^2,G423*('Input Frontier'!H21/'Input Frontier'!G21)))</f>
        <v>0</v>
      </c>
    </row>
    <row r="424" spans="1:8" s="87" customFormat="1" hidden="1" x14ac:dyDescent="0.3">
      <c r="A424" s="101"/>
      <c r="B424" s="96"/>
      <c r="C424" s="96"/>
      <c r="D424" s="96"/>
      <c r="F424" s="38"/>
    </row>
    <row r="425" spans="1:8" s="87" customFormat="1" hidden="1" x14ac:dyDescent="0.3">
      <c r="A425" s="97" t="str">
        <f>Dist3</f>
        <v>blank</v>
      </c>
      <c r="B425" s="96"/>
      <c r="C425" s="96"/>
      <c r="D425" s="96"/>
      <c r="E425" s="96"/>
      <c r="F425" s="38"/>
      <c r="G425" s="96"/>
      <c r="H425" s="96"/>
    </row>
    <row r="426" spans="1:8" s="87" customFormat="1" hidden="1" x14ac:dyDescent="0.3">
      <c r="A426" s="87" t="str">
        <f ca="1">'Calc (Jurisdiction)'!$B$2</f>
        <v>Calc (Jurisdiction)</v>
      </c>
      <c r="B426" s="136" t="s">
        <v>37</v>
      </c>
      <c r="C426" s="87" t="s">
        <v>11</v>
      </c>
      <c r="D426" s="96"/>
      <c r="E426" s="96"/>
      <c r="F426" s="38"/>
      <c r="G426" s="135"/>
      <c r="H426" s="135"/>
    </row>
    <row r="427" spans="1:8" s="87" customFormat="1" hidden="1" x14ac:dyDescent="0.3">
      <c r="A427" s="87" t="e">
        <f>#REF!</f>
        <v>#REF!</v>
      </c>
      <c r="B427" s="96" t="s">
        <v>37</v>
      </c>
      <c r="C427" s="87" t="s">
        <v>11</v>
      </c>
      <c r="D427" s="96"/>
      <c r="E427" s="96"/>
      <c r="F427" s="38"/>
      <c r="G427" s="94">
        <f>IF('Input Global'!$B$60="frontier number",'Input Frontier'!G24,IF('Input Global'!$B$60="CPI",$F$375*(1+inflation),$F$375*('Input Frontier'!G24/'Input Frontier'!F24)))</f>
        <v>0</v>
      </c>
      <c r="H427" s="94">
        <f>IF('Input Global'!$B$60="frontier number",'Input Frontier'!H24,IF('Input Global'!$B$60="CPI",$F$375*(1+inflation)^2,G427*('Input Frontier'!H24/'Input Frontier'!G24)))</f>
        <v>0</v>
      </c>
    </row>
    <row r="428" spans="1:8" s="87" customFormat="1" hidden="1" x14ac:dyDescent="0.3">
      <c r="A428" s="87" t="e">
        <f>#REF!</f>
        <v>#REF!</v>
      </c>
      <c r="B428" s="96" t="s">
        <v>37</v>
      </c>
      <c r="C428" s="87" t="s">
        <v>11</v>
      </c>
      <c r="D428" s="96"/>
      <c r="E428" s="96"/>
      <c r="F428" s="38"/>
      <c r="G428" s="94">
        <f>IF('Input Global'!$B$60="frontier number",'Input Frontier'!G25,IF('Input Global'!$B$60="CPI",$F$375*(1+inflation),$F$375*('Input Frontier'!G25/'Input Frontier'!F25)))</f>
        <v>0</v>
      </c>
      <c r="H428" s="94">
        <f>IF('Input Global'!$B$60="frontier number",'Input Frontier'!H25,IF('Input Global'!$B$60="CPI",$F$375*(1+inflation)^2,G428*('Input Frontier'!H25/'Input Frontier'!G25)))</f>
        <v>0</v>
      </c>
    </row>
    <row r="429" spans="1:8" s="87" customFormat="1" hidden="1" x14ac:dyDescent="0.3">
      <c r="A429" s="87" t="e">
        <f>#REF!</f>
        <v>#REF!</v>
      </c>
      <c r="B429" s="96" t="s">
        <v>37</v>
      </c>
      <c r="C429" s="87" t="s">
        <v>11</v>
      </c>
      <c r="D429" s="96"/>
      <c r="E429" s="96"/>
      <c r="F429" s="38"/>
      <c r="G429" s="94">
        <f>IF('Input Global'!$B$60="frontier number",'Input Frontier'!G26,IF('Input Global'!$B$60="CPI",$F$375*(1+inflation),$F$375*('Input Frontier'!G26/'Input Frontier'!F26)))</f>
        <v>0</v>
      </c>
      <c r="H429" s="94">
        <f>IF('Input Global'!$B$60="frontier number",'Input Frontier'!H26,IF('Input Global'!$B$60="CPI",$F$375*(1+inflation)^2,G429*('Input Frontier'!H26/'Input Frontier'!G26)))</f>
        <v>0</v>
      </c>
    </row>
    <row r="430" spans="1:8" s="87" customFormat="1" hidden="1" x14ac:dyDescent="0.3">
      <c r="A430" s="87" t="e">
        <f>#REF!</f>
        <v>#REF!</v>
      </c>
      <c r="B430" s="96" t="s">
        <v>37</v>
      </c>
      <c r="C430" s="87" t="s">
        <v>11</v>
      </c>
      <c r="D430" s="96"/>
      <c r="E430" s="96"/>
      <c r="F430" s="38"/>
      <c r="G430" s="94">
        <f>IF('Input Global'!$B$60="frontier number",'Input Frontier'!G27,IF('Input Global'!$B$60="CPI",$F$375*(1+inflation),$F$375*('Input Frontier'!G27/'Input Frontier'!F27)))</f>
        <v>0</v>
      </c>
      <c r="H430" s="94">
        <f>IF('Input Global'!$B$60="frontier number",'Input Frontier'!H27,IF('Input Global'!$B$60="CPI",$F$375*(1+inflation)^2,G430*('Input Frontier'!H27/'Input Frontier'!G27)))</f>
        <v>0</v>
      </c>
    </row>
    <row r="431" spans="1:8" s="87" customFormat="1" hidden="1" x14ac:dyDescent="0.3">
      <c r="F431" s="38"/>
    </row>
    <row r="432" spans="1:8" s="87" customFormat="1" hidden="1" x14ac:dyDescent="0.3">
      <c r="A432" s="97" t="str">
        <f>Dist4</f>
        <v>blank</v>
      </c>
      <c r="B432" s="96"/>
      <c r="C432" s="96"/>
      <c r="D432" s="96"/>
      <c r="E432" s="96"/>
      <c r="F432" s="98"/>
      <c r="G432" s="96"/>
      <c r="H432" s="96"/>
    </row>
    <row r="433" spans="1:8" s="87" customFormat="1" hidden="1" x14ac:dyDescent="0.3">
      <c r="A433" s="87" t="str">
        <f ca="1">'Calc (Jurisdiction)'!$B$2</f>
        <v>Calc (Jurisdiction)</v>
      </c>
      <c r="B433" s="136" t="s">
        <v>37</v>
      </c>
      <c r="C433" s="87" t="s">
        <v>11</v>
      </c>
      <c r="D433" s="96"/>
      <c r="E433" s="96"/>
      <c r="F433" s="98"/>
      <c r="G433" s="135"/>
      <c r="H433" s="135"/>
    </row>
    <row r="434" spans="1:8" s="87" customFormat="1" hidden="1" x14ac:dyDescent="0.3">
      <c r="A434" s="87" t="e">
        <f>#REF!</f>
        <v>#REF!</v>
      </c>
      <c r="B434" s="96" t="s">
        <v>37</v>
      </c>
      <c r="C434" s="87" t="s">
        <v>11</v>
      </c>
      <c r="D434" s="96"/>
      <c r="E434" s="96"/>
      <c r="F434" s="98"/>
      <c r="G434" s="94">
        <f>IF('Input Global'!$B$60="frontier number",'Input Frontier'!G30,IF('Input Global'!$B$60="CPI",$F$386*(1+inflation),$F$386*('Input Frontier'!G30/'Input Frontier'!F30)))</f>
        <v>0</v>
      </c>
      <c r="H434" s="94">
        <f>IF('Input Global'!$B$60="frontier number",'Input Frontier'!H30,IF('Input Global'!$B$60="CPI",$F$386*(1+inflation)^2,G434*('Input Frontier'!H30/'Input Frontier'!G30)))</f>
        <v>0</v>
      </c>
    </row>
    <row r="435" spans="1:8" s="87" customFormat="1" hidden="1" x14ac:dyDescent="0.3">
      <c r="A435" s="87" t="e">
        <f>#REF!</f>
        <v>#REF!</v>
      </c>
      <c r="B435" s="96" t="s">
        <v>37</v>
      </c>
      <c r="C435" s="87" t="s">
        <v>11</v>
      </c>
      <c r="D435" s="96"/>
      <c r="E435" s="96"/>
      <c r="F435" s="98"/>
      <c r="G435" s="94">
        <f>IF('Input Global'!$B$60="frontier number",'Input Frontier'!G31,IF('Input Global'!$B$60="CPI",$F$386*(1+inflation),$F$386*('Input Frontier'!G31/'Input Frontier'!F31)))</f>
        <v>0</v>
      </c>
      <c r="H435" s="94">
        <f>IF('Input Global'!$B$60="frontier number",'Input Frontier'!H31,IF('Input Global'!$B$60="CPI",$F$386*(1+inflation)^2,G435*('Input Frontier'!H31/'Input Frontier'!G31)))</f>
        <v>0</v>
      </c>
    </row>
    <row r="436" spans="1:8" s="87" customFormat="1" hidden="1" x14ac:dyDescent="0.3">
      <c r="A436" s="87" t="e">
        <f>#REF!</f>
        <v>#REF!</v>
      </c>
      <c r="B436" s="96" t="s">
        <v>37</v>
      </c>
      <c r="C436" s="87" t="s">
        <v>11</v>
      </c>
      <c r="D436" s="96"/>
      <c r="E436" s="96"/>
      <c r="F436" s="98"/>
      <c r="G436" s="94">
        <f>IF('Input Global'!$B$60="frontier number",'Input Frontier'!G32,IF('Input Global'!$B$60="CPI",$F$386*(1+inflation),$F$386*('Input Frontier'!G32/'Input Frontier'!F32)))</f>
        <v>0</v>
      </c>
      <c r="H436" s="94">
        <f>IF('Input Global'!$B$60="frontier number",'Input Frontier'!H32,IF('Input Global'!$B$60="CPI",$F$386*(1+inflation)^2,G436*('Input Frontier'!H32/'Input Frontier'!G32)))</f>
        <v>0</v>
      </c>
    </row>
    <row r="437" spans="1:8" s="87" customFormat="1" hidden="1" x14ac:dyDescent="0.3">
      <c r="A437" s="87" t="e">
        <f>#REF!</f>
        <v>#REF!</v>
      </c>
      <c r="B437" s="96" t="s">
        <v>37</v>
      </c>
      <c r="C437" s="87" t="s">
        <v>11</v>
      </c>
      <c r="D437" s="96"/>
      <c r="E437" s="96"/>
      <c r="F437" s="98"/>
      <c r="G437" s="94">
        <f>IF('Input Global'!$B$60="frontier number",'Input Frontier'!G33,IF('Input Global'!$B$60="CPI",$F$386*(1+inflation),$F$386*('Input Frontier'!G33/'Input Frontier'!F33)))</f>
        <v>0</v>
      </c>
      <c r="H437" s="94">
        <f>IF('Input Global'!$B$60="frontier number",'Input Frontier'!H33,IF('Input Global'!$B$60="CPI",$F$386*(1+inflation)^2,G437*('Input Frontier'!H33/'Input Frontier'!G33)))</f>
        <v>0</v>
      </c>
    </row>
    <row r="438" spans="1:8" s="87" customFormat="1" hidden="1" x14ac:dyDescent="0.3">
      <c r="F438" s="38"/>
    </row>
    <row r="439" spans="1:8" s="87" customFormat="1" hidden="1" x14ac:dyDescent="0.3">
      <c r="A439" s="97" t="str">
        <f>Dist5</f>
        <v>blank</v>
      </c>
      <c r="B439" s="96"/>
      <c r="C439" s="96"/>
      <c r="D439" s="96"/>
      <c r="E439" s="96"/>
      <c r="F439" s="98"/>
      <c r="G439" s="96"/>
      <c r="H439" s="96"/>
    </row>
    <row r="440" spans="1:8" s="87" customFormat="1" hidden="1" x14ac:dyDescent="0.3">
      <c r="A440" s="87" t="str">
        <f ca="1">'Calc (Jurisdiction)'!$B$2</f>
        <v>Calc (Jurisdiction)</v>
      </c>
      <c r="B440" s="136" t="s">
        <v>37</v>
      </c>
      <c r="C440" s="87" t="s">
        <v>11</v>
      </c>
      <c r="D440" s="96"/>
      <c r="E440" s="96"/>
      <c r="F440" s="98"/>
      <c r="G440" s="135"/>
      <c r="H440" s="135"/>
    </row>
    <row r="441" spans="1:8" s="87" customFormat="1" hidden="1" x14ac:dyDescent="0.3">
      <c r="A441" s="87" t="e">
        <f>#REF!</f>
        <v>#REF!</v>
      </c>
      <c r="B441" s="96" t="s">
        <v>37</v>
      </c>
      <c r="C441" s="87" t="s">
        <v>11</v>
      </c>
      <c r="D441" s="96"/>
      <c r="E441" s="96"/>
      <c r="F441" s="98"/>
      <c r="G441" s="94">
        <f>IF('Input Global'!$B$60="frontier number",'Input Frontier'!G36,IF('Input Global'!$B$60="CPI",F397*(1+inflation),$F$397*('Input Frontier'!G36/'Input Frontier'!F36)))</f>
        <v>0</v>
      </c>
      <c r="H441" s="94">
        <f>IF('Input Global'!$B$60="frontier number",'Input Frontier'!H36,IF('Input Global'!$B$60="CPI",$F$397*(1+inflation)^2,G441*('Input Frontier'!H36/'Input Frontier'!G36)))</f>
        <v>0</v>
      </c>
    </row>
    <row r="442" spans="1:8" s="87" customFormat="1" hidden="1" x14ac:dyDescent="0.3">
      <c r="A442" s="87" t="e">
        <f>#REF!</f>
        <v>#REF!</v>
      </c>
      <c r="B442" s="96" t="s">
        <v>37</v>
      </c>
      <c r="C442" s="87" t="s">
        <v>11</v>
      </c>
      <c r="D442" s="96"/>
      <c r="E442" s="96"/>
      <c r="F442" s="98"/>
      <c r="G442" s="94">
        <f>IF('Input Global'!$B$60="frontier number",'Input Frontier'!G37,IF('Input Global'!$B$60="CPI",F398*(1+inflation),$F$397*('Input Frontier'!G37/'Input Frontier'!F37)))</f>
        <v>0</v>
      </c>
      <c r="H442" s="94">
        <f>IF('Input Global'!$B$60="frontier number",'Input Frontier'!H37,IF('Input Global'!$B$60="CPI",$F$397*(1+inflation)^2,G442*('Input Frontier'!H37/'Input Frontier'!G37)))</f>
        <v>0</v>
      </c>
    </row>
    <row r="443" spans="1:8" s="87" customFormat="1" hidden="1" x14ac:dyDescent="0.3">
      <c r="A443" s="87" t="e">
        <f>#REF!</f>
        <v>#REF!</v>
      </c>
      <c r="B443" s="96" t="s">
        <v>37</v>
      </c>
      <c r="C443" s="87" t="s">
        <v>11</v>
      </c>
      <c r="D443" s="96"/>
      <c r="E443" s="96"/>
      <c r="F443" s="98"/>
      <c r="G443" s="94">
        <f>IF('Input Global'!$B$60="frontier number",'Input Frontier'!G38,IF('Input Global'!$B$60="CPI",F399*(1+inflation),$F$397*('Input Frontier'!G38/'Input Frontier'!F38)))</f>
        <v>0</v>
      </c>
      <c r="H443" s="94">
        <f>IF('Input Global'!$B$60="frontier number",'Input Frontier'!H38,IF('Input Global'!$B$60="CPI",$F$397*(1+inflation)^2,G443*('Input Frontier'!H38/'Input Frontier'!G38)))</f>
        <v>0</v>
      </c>
    </row>
    <row r="444" spans="1:8" s="87" customFormat="1" hidden="1" x14ac:dyDescent="0.3">
      <c r="A444" s="87" t="e">
        <f>#REF!</f>
        <v>#REF!</v>
      </c>
      <c r="B444" s="96" t="s">
        <v>37</v>
      </c>
      <c r="C444" s="87" t="s">
        <v>11</v>
      </c>
      <c r="D444" s="96"/>
      <c r="E444" s="96"/>
      <c r="F444" s="98"/>
      <c r="G444" s="94">
        <f>IF('Input Global'!$B$60="frontier number",'Input Frontier'!G39,IF('Input Global'!$B$60="CPI",F400*(1+inflation),$F$397*('Input Frontier'!G39/'Input Frontier'!F39)))</f>
        <v>0</v>
      </c>
      <c r="H444" s="94">
        <f>IF('Input Global'!$B$60="frontier number",'Input Frontier'!H39,IF('Input Global'!$B$60="CPI",$F$397*(1+inflation)^2,G444*('Input Frontier'!H39/'Input Frontier'!G39)))</f>
        <v>0</v>
      </c>
    </row>
    <row r="445" spans="1:8" s="87" customFormat="1" x14ac:dyDescent="0.3">
      <c r="A445" s="96"/>
      <c r="B445" s="96"/>
      <c r="C445" s="96"/>
      <c r="D445" s="96"/>
      <c r="E445" s="96"/>
      <c r="F445" s="96"/>
      <c r="G445" s="96"/>
      <c r="H445" s="96"/>
    </row>
    <row r="446" spans="1:8" s="87" customFormat="1" x14ac:dyDescent="0.3">
      <c r="A446" s="93" t="s">
        <v>93</v>
      </c>
      <c r="B446" s="96"/>
      <c r="C446" s="96"/>
      <c r="D446" s="96"/>
      <c r="E446" s="96"/>
      <c r="F446" s="38"/>
      <c r="G446" s="100"/>
      <c r="H446" s="100"/>
    </row>
    <row r="447" spans="1:8" s="87" customFormat="1" x14ac:dyDescent="0.3">
      <c r="A447" s="97" t="str">
        <f>Dist1</f>
        <v>Northern Territory</v>
      </c>
      <c r="B447" s="96"/>
      <c r="C447" s="96"/>
      <c r="D447" s="96"/>
      <c r="E447" s="96"/>
      <c r="F447" s="98"/>
      <c r="G447" s="96"/>
      <c r="H447" s="96"/>
    </row>
    <row r="448" spans="1:8" s="87" customFormat="1" x14ac:dyDescent="0.3">
      <c r="A448" s="87" t="str">
        <f ca="1">'Calc (Jurisdiction)'!$B$2</f>
        <v>Calc (Jurisdiction)</v>
      </c>
      <c r="B448" s="136" t="s">
        <v>37</v>
      </c>
      <c r="C448" s="87" t="s">
        <v>11</v>
      </c>
      <c r="D448" s="96"/>
      <c r="E448" s="96"/>
      <c r="F448" s="98"/>
      <c r="G448" s="142">
        <v>0</v>
      </c>
      <c r="H448" s="142">
        <f>G786*(1+inflation)</f>
        <v>1.9355343184931502</v>
      </c>
    </row>
    <row r="449" spans="1:8" s="87" customFormat="1" hidden="1" x14ac:dyDescent="0.3">
      <c r="A449" s="87" t="e">
        <f>#REF!</f>
        <v>#REF!</v>
      </c>
      <c r="B449" s="96" t="s">
        <v>37</v>
      </c>
      <c r="C449" s="87" t="s">
        <v>11</v>
      </c>
      <c r="D449" s="96"/>
      <c r="E449" s="96"/>
      <c r="F449" s="98"/>
      <c r="G449" s="94">
        <f>IF('Input Global'!$B$60="frontier number",'Input Frontier'!G44,IF('Input Global'!$B$60="CPI",$F$356*(1+inflation),$F$356*('Input Frontier'!G44/'Input Frontier'!F44)))</f>
        <v>1.3591406818181817</v>
      </c>
      <c r="H449" s="94">
        <f>IF('Input Global'!$B$60="frontier number",'Input Frontier'!H44,IF('Input Global'!$B$60="CPI",$F$356*(1+inflation)^2,G449*('Input Frontier'!H44/'Input Frontier'!G44)))</f>
        <v>1.3931191988636362</v>
      </c>
    </row>
    <row r="450" spans="1:8" s="87" customFormat="1" hidden="1" x14ac:dyDescent="0.3">
      <c r="A450" s="87" t="e">
        <f>#REF!</f>
        <v>#REF!</v>
      </c>
      <c r="B450" s="96" t="s">
        <v>37</v>
      </c>
      <c r="C450" s="87" t="s">
        <v>11</v>
      </c>
      <c r="D450" s="96"/>
      <c r="E450" s="96"/>
      <c r="F450" s="98"/>
      <c r="G450" s="94">
        <f>IF('Input Global'!$B$60="frontier number",'Input Frontier'!G45,IF('Input Global'!$B$60="CPI",$F$356*(1+inflation),$F$356*('Input Frontier'!G45/'Input Frontier'!F45)))</f>
        <v>1.3591406818181817</v>
      </c>
      <c r="H450" s="94">
        <f>IF('Input Global'!$B$60="frontier number",'Input Frontier'!H45,IF('Input Global'!$B$60="CPI",$F$356*(1+inflation)^2,G450*('Input Frontier'!H45/'Input Frontier'!G45)))</f>
        <v>1.3931191988636362</v>
      </c>
    </row>
    <row r="451" spans="1:8" s="87" customFormat="1" hidden="1" x14ac:dyDescent="0.3">
      <c r="A451" s="87" t="e">
        <f>#REF!</f>
        <v>#REF!</v>
      </c>
      <c r="B451" s="96" t="s">
        <v>37</v>
      </c>
      <c r="C451" s="87" t="s">
        <v>11</v>
      </c>
      <c r="D451" s="96"/>
      <c r="E451" s="96"/>
      <c r="F451" s="98"/>
      <c r="G451" s="94">
        <f>IF('Input Global'!$B$60="frontier number",'Input Frontier'!G46,IF('Input Global'!$B$60="CPI",$F$356*(1+inflation),$F$356*('Input Frontier'!G46/'Input Frontier'!F46)))</f>
        <v>1.3591406818181817</v>
      </c>
      <c r="H451" s="94">
        <f>IF('Input Global'!$B$60="frontier number",'Input Frontier'!H46,IF('Input Global'!$B$60="CPI",$F$356*(1+inflation)^2,G451*('Input Frontier'!H46/'Input Frontier'!G46)))</f>
        <v>1.3931191988636362</v>
      </c>
    </row>
    <row r="452" spans="1:8" s="87" customFormat="1" hidden="1" x14ac:dyDescent="0.3">
      <c r="A452" s="87" t="e">
        <f>#REF!</f>
        <v>#REF!</v>
      </c>
      <c r="B452" s="96" t="s">
        <v>37</v>
      </c>
      <c r="C452" s="87" t="s">
        <v>11</v>
      </c>
      <c r="D452" s="96"/>
      <c r="E452" s="96"/>
      <c r="F452" s="98"/>
      <c r="G452" s="94">
        <f>IF('Input Global'!$B$60="frontier number",'Input Frontier'!G47,IF('Input Global'!$B$60="CPI",$F$356*(1+inflation),$F$356*('Input Frontier'!G47/'Input Frontier'!F47)))</f>
        <v>1.3591406818181817</v>
      </c>
      <c r="H452" s="94">
        <f>IF('Input Global'!$B$60="frontier number",'Input Frontier'!H47,IF('Input Global'!$B$60="CPI",$F$356*(1+inflation)^2,G452*('Input Frontier'!H47/'Input Frontier'!G47)))</f>
        <v>1.3931191988636362</v>
      </c>
    </row>
    <row r="453" spans="1:8" s="87" customFormat="1" hidden="1" x14ac:dyDescent="0.3">
      <c r="A453" s="96"/>
      <c r="F453" s="98"/>
      <c r="G453" s="100"/>
      <c r="H453" s="100"/>
    </row>
    <row r="454" spans="1:8" s="87" customFormat="1" hidden="1" x14ac:dyDescent="0.3">
      <c r="A454" s="40" t="str">
        <f>Dist2</f>
        <v>blank</v>
      </c>
      <c r="F454" s="38"/>
    </row>
    <row r="455" spans="1:8" s="87" customFormat="1" hidden="1" x14ac:dyDescent="0.3">
      <c r="A455" s="87" t="str">
        <f ca="1">'Calc (Jurisdiction)'!$B$2</f>
        <v>Calc (Jurisdiction)</v>
      </c>
      <c r="B455" s="136" t="s">
        <v>37</v>
      </c>
      <c r="C455" s="87" t="s">
        <v>11</v>
      </c>
      <c r="F455" s="38"/>
      <c r="G455" s="135"/>
      <c r="H455" s="135"/>
    </row>
    <row r="456" spans="1:8" s="87" customFormat="1" hidden="1" x14ac:dyDescent="0.3">
      <c r="A456" s="87" t="e">
        <f>#REF!</f>
        <v>#REF!</v>
      </c>
      <c r="B456" s="96" t="s">
        <v>37</v>
      </c>
      <c r="C456" s="87" t="s">
        <v>11</v>
      </c>
      <c r="D456" s="96"/>
      <c r="E456" s="96"/>
      <c r="F456" s="38"/>
      <c r="G456" s="94">
        <f>IF('Input Global'!$B$60="frontier number",'Input Frontier'!G50,IF('Input Global'!$B$60="CPI",$F$367*(1+inflation),$F$367*('Input Frontier'!G50/'Input Frontier'!F50)))</f>
        <v>0</v>
      </c>
      <c r="H456" s="94">
        <f>IF('Input Global'!$B$60="frontier number",'Input Frontier'!H50,IF('Input Global'!$B$60="CPI",$F$367*(1+inflation)^2,G456*('Input Frontier'!H50/'Input Frontier'!G50)))</f>
        <v>0</v>
      </c>
    </row>
    <row r="457" spans="1:8" s="87" customFormat="1" hidden="1" x14ac:dyDescent="0.3">
      <c r="A457" s="87" t="e">
        <f>#REF!</f>
        <v>#REF!</v>
      </c>
      <c r="B457" s="96" t="s">
        <v>37</v>
      </c>
      <c r="C457" s="87" t="s">
        <v>11</v>
      </c>
      <c r="D457" s="96"/>
      <c r="E457" s="96"/>
      <c r="F457" s="38"/>
      <c r="G457" s="94">
        <f>IF('Input Global'!$B$60="frontier number",'Input Frontier'!G51,IF('Input Global'!$B$60="CPI",$F$367*(1+inflation),$F$367*('Input Frontier'!G51/'Input Frontier'!F51)))</f>
        <v>0</v>
      </c>
      <c r="H457" s="94">
        <f>IF('Input Global'!$B$60="frontier number",'Input Frontier'!H51,IF('Input Global'!$B$60="CPI",$F$367*(1+inflation)^2,G457*('Input Frontier'!H51/'Input Frontier'!G51)))</f>
        <v>0</v>
      </c>
    </row>
    <row r="458" spans="1:8" s="87" customFormat="1" hidden="1" x14ac:dyDescent="0.3">
      <c r="A458" s="87" t="e">
        <f>#REF!</f>
        <v>#REF!</v>
      </c>
      <c r="B458" s="96" t="s">
        <v>37</v>
      </c>
      <c r="C458" s="87" t="s">
        <v>11</v>
      </c>
      <c r="D458" s="96"/>
      <c r="E458" s="96"/>
      <c r="F458" s="38"/>
      <c r="G458" s="94">
        <f>IF('Input Global'!$B$60="frontier number",'Input Frontier'!G52,IF('Input Global'!$B$60="CPI",$F$367*(1+inflation),$F$367*('Input Frontier'!G52/'Input Frontier'!F52)))</f>
        <v>0</v>
      </c>
      <c r="H458" s="94">
        <f>IF('Input Global'!$B$60="frontier number",'Input Frontier'!H52,IF('Input Global'!$B$60="CPI",$F$367*(1+inflation)^2,G458*('Input Frontier'!H52/'Input Frontier'!G52)))</f>
        <v>0</v>
      </c>
    </row>
    <row r="459" spans="1:8" s="87" customFormat="1" hidden="1" x14ac:dyDescent="0.3">
      <c r="A459" s="87" t="e">
        <f>#REF!</f>
        <v>#REF!</v>
      </c>
      <c r="B459" s="96" t="s">
        <v>37</v>
      </c>
      <c r="C459" s="87" t="s">
        <v>11</v>
      </c>
      <c r="D459" s="96"/>
      <c r="E459" s="96"/>
      <c r="F459" s="38"/>
      <c r="G459" s="94">
        <f>IF('Input Global'!$B$60="frontier number",'Input Frontier'!G53,IF('Input Global'!$B$60="CPI",$F$367*(1+inflation),$F$367*('Input Frontier'!G53/'Input Frontier'!F53)))</f>
        <v>0</v>
      </c>
      <c r="H459" s="94">
        <f>IF('Input Global'!$B$60="frontier number",'Input Frontier'!H53,IF('Input Global'!$B$60="CPI",$F$367*(1+inflation)^2,G459*('Input Frontier'!H53/'Input Frontier'!G53)))</f>
        <v>0</v>
      </c>
    </row>
    <row r="460" spans="1:8" s="87" customFormat="1" hidden="1" x14ac:dyDescent="0.3">
      <c r="A460" s="101"/>
      <c r="B460" s="96"/>
      <c r="C460" s="96"/>
      <c r="D460" s="96"/>
      <c r="F460" s="38"/>
    </row>
    <row r="461" spans="1:8" s="87" customFormat="1" hidden="1" x14ac:dyDescent="0.3">
      <c r="A461" s="97" t="str">
        <f>Dist3</f>
        <v>blank</v>
      </c>
      <c r="B461" s="96"/>
      <c r="C461" s="96"/>
      <c r="D461" s="96"/>
      <c r="E461" s="96"/>
      <c r="F461" s="38"/>
      <c r="G461" s="96"/>
      <c r="H461" s="96"/>
    </row>
    <row r="462" spans="1:8" s="87" customFormat="1" hidden="1" x14ac:dyDescent="0.3">
      <c r="A462" s="87" t="str">
        <f ca="1">'Calc (Jurisdiction)'!$B$2</f>
        <v>Calc (Jurisdiction)</v>
      </c>
      <c r="B462" s="136" t="s">
        <v>37</v>
      </c>
      <c r="C462" s="87" t="s">
        <v>11</v>
      </c>
      <c r="D462" s="96"/>
      <c r="E462" s="96"/>
      <c r="F462" s="38"/>
      <c r="G462" s="135"/>
      <c r="H462" s="135"/>
    </row>
    <row r="463" spans="1:8" s="87" customFormat="1" hidden="1" x14ac:dyDescent="0.3">
      <c r="A463" s="87" t="e">
        <f>#REF!</f>
        <v>#REF!</v>
      </c>
      <c r="B463" s="96" t="s">
        <v>37</v>
      </c>
      <c r="C463" s="87" t="s">
        <v>11</v>
      </c>
      <c r="D463" s="96"/>
      <c r="E463" s="96"/>
      <c r="F463" s="38"/>
      <c r="G463" s="94">
        <f>IF('Input Global'!$B$60="frontier number",'Input Frontier'!G56,IF('Input Global'!$B$60="CPI",$F$378*(1+inflation),$F$378*('Input Frontier'!G56/'Input Frontier'!F56)))</f>
        <v>0</v>
      </c>
      <c r="H463" s="94">
        <f>IF('Input Global'!$B$60="frontier number",'Input Frontier'!H56,IF('Input Global'!$B$60="CPI",$F$378*(1+inflation)^2,G463*('Input Frontier'!H56/'Input Frontier'!G56)))</f>
        <v>0</v>
      </c>
    </row>
    <row r="464" spans="1:8" s="87" customFormat="1" hidden="1" x14ac:dyDescent="0.3">
      <c r="A464" s="87" t="e">
        <f>#REF!</f>
        <v>#REF!</v>
      </c>
      <c r="B464" s="96" t="s">
        <v>37</v>
      </c>
      <c r="C464" s="87" t="s">
        <v>11</v>
      </c>
      <c r="D464" s="96"/>
      <c r="E464" s="96"/>
      <c r="F464" s="38"/>
      <c r="G464" s="94">
        <f>IF('Input Global'!$B$60="frontier number",'Input Frontier'!G57,IF('Input Global'!$B$60="CPI",$F$378*(1+inflation),$F$378*('Input Frontier'!G57/'Input Frontier'!F57)))</f>
        <v>0</v>
      </c>
      <c r="H464" s="94">
        <f>IF('Input Global'!$B$60="frontier number",'Input Frontier'!H57,IF('Input Global'!$B$60="CPI",$F$378*(1+inflation)^2,G464*('Input Frontier'!H57/'Input Frontier'!G57)))</f>
        <v>0</v>
      </c>
    </row>
    <row r="465" spans="1:8" s="87" customFormat="1" hidden="1" x14ac:dyDescent="0.3">
      <c r="A465" s="87" t="e">
        <f>#REF!</f>
        <v>#REF!</v>
      </c>
      <c r="B465" s="96" t="s">
        <v>37</v>
      </c>
      <c r="C465" s="87" t="s">
        <v>11</v>
      </c>
      <c r="D465" s="96"/>
      <c r="E465" s="96"/>
      <c r="F465" s="38"/>
      <c r="G465" s="94">
        <f>IF('Input Global'!$B$60="frontier number",'Input Frontier'!G58,IF('Input Global'!$B$60="CPI",$F$378*(1+inflation),$F$378*('Input Frontier'!G58/'Input Frontier'!F58)))</f>
        <v>0</v>
      </c>
      <c r="H465" s="94">
        <f>IF('Input Global'!$B$60="frontier number",'Input Frontier'!H58,IF('Input Global'!$B$60="CPI",$F$378*(1+inflation)^2,G465*('Input Frontier'!H58/'Input Frontier'!G58)))</f>
        <v>0</v>
      </c>
    </row>
    <row r="466" spans="1:8" s="87" customFormat="1" hidden="1" x14ac:dyDescent="0.3">
      <c r="A466" s="87" t="e">
        <f>#REF!</f>
        <v>#REF!</v>
      </c>
      <c r="B466" s="96" t="s">
        <v>37</v>
      </c>
      <c r="C466" s="87" t="s">
        <v>11</v>
      </c>
      <c r="D466" s="96"/>
      <c r="E466" s="96"/>
      <c r="F466" s="38"/>
      <c r="G466" s="94">
        <f>IF('Input Global'!$B$60="frontier number",'Input Frontier'!G59,IF('Input Global'!$B$60="CPI",$F$378*(1+inflation),$F$378*('Input Frontier'!G59/'Input Frontier'!F59)))</f>
        <v>0</v>
      </c>
      <c r="H466" s="94">
        <f>IF('Input Global'!$B$60="frontier number",'Input Frontier'!H59,IF('Input Global'!$B$60="CPI",$F$378*(1+inflation)^2,G466*('Input Frontier'!H59/'Input Frontier'!G59)))</f>
        <v>0</v>
      </c>
    </row>
    <row r="467" spans="1:8" s="87" customFormat="1" hidden="1" x14ac:dyDescent="0.3">
      <c r="F467" s="38"/>
    </row>
    <row r="468" spans="1:8" s="87" customFormat="1" hidden="1" x14ac:dyDescent="0.3">
      <c r="A468" s="97" t="str">
        <f>Dist4</f>
        <v>blank</v>
      </c>
      <c r="B468" s="96"/>
      <c r="C468" s="96"/>
      <c r="D468" s="96"/>
      <c r="E468" s="96"/>
      <c r="F468" s="98"/>
      <c r="G468" s="96"/>
      <c r="H468" s="96"/>
    </row>
    <row r="469" spans="1:8" s="87" customFormat="1" hidden="1" x14ac:dyDescent="0.3">
      <c r="A469" s="87" t="str">
        <f ca="1">'Calc (Jurisdiction)'!$B$2</f>
        <v>Calc (Jurisdiction)</v>
      </c>
      <c r="B469" s="136" t="s">
        <v>37</v>
      </c>
      <c r="C469" s="87" t="s">
        <v>11</v>
      </c>
      <c r="D469" s="96"/>
      <c r="E469" s="96"/>
      <c r="F469" s="98"/>
      <c r="G469" s="135"/>
      <c r="H469" s="135"/>
    </row>
    <row r="470" spans="1:8" s="87" customFormat="1" hidden="1" x14ac:dyDescent="0.3">
      <c r="A470" s="87" t="e">
        <f>#REF!</f>
        <v>#REF!</v>
      </c>
      <c r="B470" s="96" t="s">
        <v>37</v>
      </c>
      <c r="C470" s="87" t="s">
        <v>11</v>
      </c>
      <c r="D470" s="96"/>
      <c r="E470" s="96"/>
      <c r="F470" s="98"/>
      <c r="G470" s="94">
        <f>IF('Input Global'!$B$60="frontier number",'Input Frontier'!G62,IF('Input Global'!$B$60="CPI",$F$389*(1+inflation),$F$389*('Input Frontier'!G62/'Input Frontier'!F62)))</f>
        <v>0</v>
      </c>
      <c r="H470" s="94">
        <f>IF('Input Global'!$B$60="frontier number",'Input Frontier'!H62,IF('Input Global'!$B$60="CPI",$F$389*(1+inflation)^2,G470*('Input Frontier'!H62/'Input Frontier'!G62)))</f>
        <v>0</v>
      </c>
    </row>
    <row r="471" spans="1:8" s="87" customFormat="1" hidden="1" x14ac:dyDescent="0.3">
      <c r="A471" s="87" t="e">
        <f>#REF!</f>
        <v>#REF!</v>
      </c>
      <c r="B471" s="96" t="s">
        <v>37</v>
      </c>
      <c r="C471" s="87" t="s">
        <v>11</v>
      </c>
      <c r="D471" s="96"/>
      <c r="E471" s="96"/>
      <c r="F471" s="98"/>
      <c r="G471" s="94">
        <f>IF('Input Global'!$B$60="frontier number",'Input Frontier'!G63,IF('Input Global'!$B$60="CPI",$F$389*(1+inflation),$F$389*('Input Frontier'!G63/'Input Frontier'!F63)))</f>
        <v>0</v>
      </c>
      <c r="H471" s="94">
        <f>IF('Input Global'!$B$60="frontier number",'Input Frontier'!H63,IF('Input Global'!$B$60="CPI",$F$389*(1+inflation)^2,G471*('Input Frontier'!H63/'Input Frontier'!G63)))</f>
        <v>0</v>
      </c>
    </row>
    <row r="472" spans="1:8" s="87" customFormat="1" hidden="1" x14ac:dyDescent="0.3">
      <c r="A472" s="87" t="e">
        <f>#REF!</f>
        <v>#REF!</v>
      </c>
      <c r="B472" s="96" t="s">
        <v>37</v>
      </c>
      <c r="C472" s="87" t="s">
        <v>11</v>
      </c>
      <c r="D472" s="96"/>
      <c r="E472" s="96"/>
      <c r="F472" s="98"/>
      <c r="G472" s="94">
        <f>IF('Input Global'!$B$60="frontier number",'Input Frontier'!G64,IF('Input Global'!$B$60="CPI",$F$389*(1+inflation),$F$389*('Input Frontier'!G64/'Input Frontier'!F64)))</f>
        <v>0</v>
      </c>
      <c r="H472" s="94">
        <f>IF('Input Global'!$B$60="frontier number",'Input Frontier'!H64,IF('Input Global'!$B$60="CPI",$F$389*(1+inflation)^2,G472*('Input Frontier'!H64/'Input Frontier'!G64)))</f>
        <v>0</v>
      </c>
    </row>
    <row r="473" spans="1:8" s="87" customFormat="1" hidden="1" x14ac:dyDescent="0.3">
      <c r="A473" s="87" t="e">
        <f>#REF!</f>
        <v>#REF!</v>
      </c>
      <c r="B473" s="96" t="s">
        <v>37</v>
      </c>
      <c r="C473" s="87" t="s">
        <v>11</v>
      </c>
      <c r="D473" s="96"/>
      <c r="E473" s="96"/>
      <c r="F473" s="98"/>
      <c r="G473" s="94">
        <f>IF('Input Global'!$B$60="frontier number",'Input Frontier'!G65,IF('Input Global'!$B$60="CPI",$F$389*(1+inflation),$F$389*('Input Frontier'!G65/'Input Frontier'!F65)))</f>
        <v>0</v>
      </c>
      <c r="H473" s="94">
        <f>IF('Input Global'!$B$60="frontier number",'Input Frontier'!H65,IF('Input Global'!$B$60="CPI",$F$389*(1+inflation)^2,G473*('Input Frontier'!H65/'Input Frontier'!G65)))</f>
        <v>0</v>
      </c>
    </row>
    <row r="474" spans="1:8" s="87" customFormat="1" hidden="1" x14ac:dyDescent="0.3">
      <c r="F474" s="98"/>
    </row>
    <row r="475" spans="1:8" s="87" customFormat="1" hidden="1" x14ac:dyDescent="0.3">
      <c r="A475" s="97" t="str">
        <f>Dist5</f>
        <v>blank</v>
      </c>
      <c r="B475" s="96"/>
      <c r="C475" s="96"/>
      <c r="D475" s="96"/>
      <c r="E475" s="96"/>
      <c r="F475" s="98"/>
      <c r="G475" s="96"/>
      <c r="H475" s="96"/>
    </row>
    <row r="476" spans="1:8" s="87" customFormat="1" hidden="1" x14ac:dyDescent="0.3">
      <c r="A476" s="87" t="str">
        <f ca="1">'Calc (Jurisdiction)'!$B$2</f>
        <v>Calc (Jurisdiction)</v>
      </c>
      <c r="B476" s="136" t="s">
        <v>37</v>
      </c>
      <c r="C476" s="87" t="s">
        <v>11</v>
      </c>
      <c r="D476" s="96"/>
      <c r="E476" s="96"/>
      <c r="F476" s="98"/>
      <c r="G476" s="135"/>
      <c r="H476" s="135"/>
    </row>
    <row r="477" spans="1:8" s="87" customFormat="1" hidden="1" x14ac:dyDescent="0.3">
      <c r="A477" s="87" t="e">
        <f>#REF!</f>
        <v>#REF!</v>
      </c>
      <c r="B477" s="96" t="s">
        <v>37</v>
      </c>
      <c r="C477" s="87" t="s">
        <v>11</v>
      </c>
      <c r="D477" s="96"/>
      <c r="E477" s="96"/>
      <c r="F477" s="98"/>
      <c r="G477" s="94">
        <f>IF('Input Global'!$B$60="frontier number",'Input Frontier'!G68,IF('Input Global'!$B$60="CPI",$F$400*(1+inflation),$F$400*('Input Frontier'!G68/'Input Frontier'!F68)))</f>
        <v>0</v>
      </c>
      <c r="H477" s="94">
        <f>IF('Input Global'!$B$60="frontier number",'Input Frontier'!H68,IF('Input Global'!$B$60="CPI",$F$400*(1+inflation)^2,G477*('Input Frontier'!H68/'Input Frontier'!G68)))</f>
        <v>0</v>
      </c>
    </row>
    <row r="478" spans="1:8" s="87" customFormat="1" hidden="1" x14ac:dyDescent="0.3">
      <c r="A478" s="87" t="e">
        <f>#REF!</f>
        <v>#REF!</v>
      </c>
      <c r="B478" s="96" t="s">
        <v>37</v>
      </c>
      <c r="C478" s="87" t="s">
        <v>11</v>
      </c>
      <c r="D478" s="96"/>
      <c r="E478" s="96"/>
      <c r="F478" s="98"/>
      <c r="G478" s="94">
        <f>IF('Input Global'!$B$60="frontier number",'Input Frontier'!G69,IF('Input Global'!$B$60="CPI",$F$400*(1+inflation),$F$400*('Input Frontier'!G69/'Input Frontier'!F69)))</f>
        <v>0</v>
      </c>
      <c r="H478" s="94">
        <f>IF('Input Global'!$B$60="frontier number",'Input Frontier'!H69,IF('Input Global'!$B$60="CPI",$F$400*(1+inflation)^2,G478*('Input Frontier'!H69/'Input Frontier'!G69)))</f>
        <v>0</v>
      </c>
    </row>
    <row r="479" spans="1:8" s="87" customFormat="1" hidden="1" x14ac:dyDescent="0.3">
      <c r="A479" s="87" t="e">
        <f>#REF!</f>
        <v>#REF!</v>
      </c>
      <c r="B479" s="96" t="s">
        <v>37</v>
      </c>
      <c r="C479" s="87" t="s">
        <v>11</v>
      </c>
      <c r="D479" s="96"/>
      <c r="E479" s="96"/>
      <c r="F479" s="98"/>
      <c r="G479" s="94">
        <f>IF('Input Global'!$B$60="frontier number",'Input Frontier'!G70,IF('Input Global'!$B$60="CPI",$F$400*(1+inflation),$F$400*('Input Frontier'!G70/'Input Frontier'!F70)))</f>
        <v>0</v>
      </c>
      <c r="H479" s="94">
        <f>IF('Input Global'!$B$60="frontier number",'Input Frontier'!H70,IF('Input Global'!$B$60="CPI",$F$400*(1+inflation)^2,G479*('Input Frontier'!H70/'Input Frontier'!G70)))</f>
        <v>0</v>
      </c>
    </row>
    <row r="480" spans="1:8" s="87" customFormat="1" hidden="1" x14ac:dyDescent="0.3">
      <c r="A480" s="87" t="e">
        <f>#REF!</f>
        <v>#REF!</v>
      </c>
      <c r="B480" s="96" t="s">
        <v>37</v>
      </c>
      <c r="C480" s="87" t="s">
        <v>11</v>
      </c>
      <c r="D480" s="96"/>
      <c r="E480" s="96"/>
      <c r="F480" s="98"/>
      <c r="G480" s="94">
        <f>IF('Input Global'!$B$60="frontier number",'Input Frontier'!G71,IF('Input Global'!$B$60="CPI",$F$400*(1+inflation),$F$400*('Input Frontier'!G71/'Input Frontier'!F71)))</f>
        <v>0</v>
      </c>
      <c r="H480" s="94">
        <f>IF('Input Global'!$B$60="frontier number",'Input Frontier'!H71,IF('Input Global'!$B$60="CPI",$F$400*(1+inflation)^2,G480*('Input Frontier'!H71/'Input Frontier'!G71)))</f>
        <v>0</v>
      </c>
    </row>
    <row r="481" spans="1:11" s="87" customFormat="1" hidden="1" x14ac:dyDescent="0.3">
      <c r="B481" s="96"/>
      <c r="C481" s="96"/>
      <c r="D481" s="96"/>
      <c r="E481" s="96"/>
      <c r="F481" s="41"/>
      <c r="G481" s="41"/>
      <c r="H481" s="41"/>
      <c r="I481" s="41"/>
      <c r="J481" s="41"/>
      <c r="K481" s="41"/>
    </row>
    <row r="482" spans="1:11" s="87" customFormat="1" hidden="1" x14ac:dyDescent="0.3">
      <c r="A482" s="32" t="s">
        <v>16</v>
      </c>
      <c r="B482" s="96"/>
      <c r="C482" s="96"/>
      <c r="D482" s="96"/>
      <c r="E482" s="96"/>
      <c r="F482" s="41"/>
      <c r="G482" s="41"/>
      <c r="H482" s="41"/>
    </row>
    <row r="483" spans="1:11" s="87" customFormat="1" hidden="1" x14ac:dyDescent="0.3">
      <c r="A483" s="97" t="str">
        <f>Dist1</f>
        <v>Northern Territory</v>
      </c>
      <c r="B483" s="96"/>
      <c r="C483" s="96"/>
      <c r="D483" s="96"/>
      <c r="E483" s="96"/>
      <c r="F483" s="100"/>
      <c r="G483" s="100"/>
      <c r="H483" s="100"/>
    </row>
    <row r="484" spans="1:11" s="87" customFormat="1" hidden="1" x14ac:dyDescent="0.3">
      <c r="A484" s="87" t="str">
        <f ca="1">'Calc (Jurisdiction)'!$B$2</f>
        <v>Calc (Jurisdiction)</v>
      </c>
      <c r="B484" s="136" t="s">
        <v>37</v>
      </c>
      <c r="C484" s="87" t="s">
        <v>11</v>
      </c>
      <c r="D484" s="96"/>
      <c r="E484" s="96"/>
      <c r="F484" s="100"/>
      <c r="G484" s="135"/>
      <c r="H484" s="135"/>
    </row>
    <row r="485" spans="1:11" s="87" customFormat="1" hidden="1" x14ac:dyDescent="0.3">
      <c r="A485" s="87" t="e">
        <f>#REF!</f>
        <v>#REF!</v>
      </c>
      <c r="B485" s="96" t="s">
        <v>37</v>
      </c>
      <c r="C485" s="87" t="s">
        <v>11</v>
      </c>
      <c r="D485" s="96"/>
      <c r="E485" s="96"/>
      <c r="F485" s="100"/>
      <c r="G485" s="94">
        <f>IF('Input Global'!$B$60="frontier number",'Input Frontier'!G75,IF('Input Global'!$B$60="CPI",$F$357*(1+inflation),$F$357*('Input Frontier'!G75/'Input Frontier'!F75)))</f>
        <v>0</v>
      </c>
      <c r="H485" s="94">
        <f>IF('Input Global'!$B$60="frontier number",'Input Frontier'!H75,IF('Input Global'!$B$60="CPI",$F$357*(1+inflation)^2,G485*('Input Frontier'!H75/'Input Frontier'!G75)))</f>
        <v>0</v>
      </c>
    </row>
    <row r="486" spans="1:11" s="87" customFormat="1" hidden="1" x14ac:dyDescent="0.3">
      <c r="A486" s="87" t="e">
        <f>#REF!</f>
        <v>#REF!</v>
      </c>
      <c r="B486" s="96" t="s">
        <v>37</v>
      </c>
      <c r="C486" s="87" t="s">
        <v>11</v>
      </c>
      <c r="D486" s="96"/>
      <c r="E486" s="96"/>
      <c r="F486" s="100"/>
      <c r="G486" s="94">
        <f>IF('Input Global'!$B$60="frontier number",'Input Frontier'!G76,IF('Input Global'!$B$60="CPI",$F$357*(1+inflation),$F$357*('Input Frontier'!G76/'Input Frontier'!F76)))</f>
        <v>0</v>
      </c>
      <c r="H486" s="94">
        <f>IF('Input Global'!$B$60="frontier number",'Input Frontier'!H76,IF('Input Global'!$B$60="CPI",$F$357*(1+inflation)^2,G486*('Input Frontier'!H76/'Input Frontier'!G76)))</f>
        <v>0</v>
      </c>
    </row>
    <row r="487" spans="1:11" s="87" customFormat="1" hidden="1" x14ac:dyDescent="0.3">
      <c r="A487" s="87" t="e">
        <f>#REF!</f>
        <v>#REF!</v>
      </c>
      <c r="B487" s="96" t="s">
        <v>37</v>
      </c>
      <c r="C487" s="87" t="s">
        <v>11</v>
      </c>
      <c r="D487" s="96"/>
      <c r="E487" s="96"/>
      <c r="F487" s="100"/>
      <c r="G487" s="94">
        <f>IF('Input Global'!$B$60="frontier number",'Input Frontier'!G77,IF('Input Global'!$B$60="CPI",$F$357*(1+inflation),$F$357*('Input Frontier'!G77/'Input Frontier'!F77)))</f>
        <v>0</v>
      </c>
      <c r="H487" s="94">
        <f>IF('Input Global'!$B$60="frontier number",'Input Frontier'!H77,IF('Input Global'!$B$60="CPI",$F$357*(1+inflation)^2,G487*('Input Frontier'!H77/'Input Frontier'!G77)))</f>
        <v>0</v>
      </c>
    </row>
    <row r="488" spans="1:11" s="87" customFormat="1" hidden="1" x14ac:dyDescent="0.3">
      <c r="A488" s="87" t="e">
        <f>#REF!</f>
        <v>#REF!</v>
      </c>
      <c r="B488" s="96" t="s">
        <v>37</v>
      </c>
      <c r="C488" s="87" t="s">
        <v>11</v>
      </c>
      <c r="D488" s="96"/>
      <c r="E488" s="96"/>
      <c r="F488" s="100"/>
      <c r="G488" s="94">
        <f>IF('Input Global'!$B$60="frontier number",'Input Frontier'!G78,IF('Input Global'!$B$60="CPI",$F$357*(1+inflation),$F$357*('Input Frontier'!G78/'Input Frontier'!F78)))</f>
        <v>0</v>
      </c>
      <c r="H488" s="94">
        <f>IF('Input Global'!$B$60="frontier number",'Input Frontier'!H78,IF('Input Global'!$B$60="CPI",$F$357*(1+inflation)^2,G488*('Input Frontier'!H78/'Input Frontier'!G78)))</f>
        <v>0</v>
      </c>
    </row>
    <row r="489" spans="1:11" s="87" customFormat="1" hidden="1" x14ac:dyDescent="0.3">
      <c r="B489" s="96"/>
      <c r="C489" s="96"/>
      <c r="D489" s="96"/>
      <c r="E489" s="96"/>
      <c r="F489" s="96"/>
      <c r="G489" s="96"/>
      <c r="H489" s="96"/>
    </row>
    <row r="490" spans="1:11" s="87" customFormat="1" hidden="1" x14ac:dyDescent="0.3">
      <c r="A490" s="97" t="str">
        <f>Dist2</f>
        <v>blank</v>
      </c>
      <c r="B490" s="96"/>
      <c r="C490" s="96"/>
      <c r="D490" s="96"/>
      <c r="E490" s="96"/>
      <c r="F490" s="100"/>
      <c r="G490" s="100"/>
      <c r="H490" s="100"/>
    </row>
    <row r="491" spans="1:11" s="87" customFormat="1" hidden="1" x14ac:dyDescent="0.3">
      <c r="A491" s="87" t="str">
        <f ca="1">'Calc (Jurisdiction)'!$B$2</f>
        <v>Calc (Jurisdiction)</v>
      </c>
      <c r="B491" s="136" t="s">
        <v>37</v>
      </c>
      <c r="C491" s="87" t="s">
        <v>11</v>
      </c>
      <c r="D491" s="96"/>
      <c r="E491" s="96"/>
      <c r="F491" s="100"/>
      <c r="G491" s="135"/>
      <c r="H491" s="135"/>
    </row>
    <row r="492" spans="1:11" s="87" customFormat="1" hidden="1" x14ac:dyDescent="0.3">
      <c r="A492" s="87" t="e">
        <f>#REF!</f>
        <v>#REF!</v>
      </c>
      <c r="B492" s="96" t="s">
        <v>37</v>
      </c>
      <c r="C492" s="87" t="s">
        <v>11</v>
      </c>
      <c r="D492" s="96"/>
      <c r="E492" s="96"/>
      <c r="F492" s="100"/>
      <c r="G492" s="94">
        <f>IF('Input Global'!$B$60="frontier number",'Input Frontier'!G81,IF('Input Global'!$B$60="CPI",$F$368*(1+inflation),$F$368*('Input Frontier'!G81/'Input Frontier'!F81)))</f>
        <v>0</v>
      </c>
      <c r="H492" s="94">
        <f>IF('Input Global'!$B$60="frontier number",'Input Frontier'!H81,IF('Input Global'!$B$60="CPI",$F$368*(1+inflation)^2,G492*('Input Frontier'!H81/'Input Frontier'!G81)))</f>
        <v>0</v>
      </c>
    </row>
    <row r="493" spans="1:11" s="87" customFormat="1" hidden="1" x14ac:dyDescent="0.3">
      <c r="A493" s="87" t="e">
        <f>#REF!</f>
        <v>#REF!</v>
      </c>
      <c r="B493" s="96" t="s">
        <v>37</v>
      </c>
      <c r="C493" s="87" t="s">
        <v>11</v>
      </c>
      <c r="D493" s="96"/>
      <c r="E493" s="96"/>
      <c r="F493" s="100"/>
      <c r="G493" s="94">
        <f>IF('Input Global'!$B$60="frontier number",'Input Frontier'!G82,IF('Input Global'!$B$60="CPI",$F$368*(1+inflation),$F$368*('Input Frontier'!G82/'Input Frontier'!F82)))</f>
        <v>0</v>
      </c>
      <c r="H493" s="94">
        <f>IF('Input Global'!$B$60="frontier number",'Input Frontier'!H82,IF('Input Global'!$B$60="CPI",$F$368*(1+inflation)^2,G493*('Input Frontier'!H82/'Input Frontier'!G82)))</f>
        <v>0</v>
      </c>
    </row>
    <row r="494" spans="1:11" s="87" customFormat="1" hidden="1" x14ac:dyDescent="0.3">
      <c r="A494" s="87" t="e">
        <f>#REF!</f>
        <v>#REF!</v>
      </c>
      <c r="B494" s="96" t="s">
        <v>37</v>
      </c>
      <c r="C494" s="87" t="s">
        <v>11</v>
      </c>
      <c r="D494" s="96"/>
      <c r="E494" s="96"/>
      <c r="F494" s="100"/>
      <c r="G494" s="94">
        <f>IF('Input Global'!$B$60="frontier number",'Input Frontier'!G83,IF('Input Global'!$B$60="CPI",$F$368*(1+inflation),$F$368*('Input Frontier'!G83/'Input Frontier'!F83)))</f>
        <v>0</v>
      </c>
      <c r="H494" s="94">
        <f>IF('Input Global'!$B$60="frontier number",'Input Frontier'!H83,IF('Input Global'!$B$60="CPI",$F$368*(1+inflation)^2,G494*('Input Frontier'!H83/'Input Frontier'!G83)))</f>
        <v>0</v>
      </c>
    </row>
    <row r="495" spans="1:11" s="87" customFormat="1" hidden="1" x14ac:dyDescent="0.3">
      <c r="A495" s="87" t="e">
        <f>#REF!</f>
        <v>#REF!</v>
      </c>
      <c r="B495" s="96" t="s">
        <v>37</v>
      </c>
      <c r="C495" s="87" t="s">
        <v>11</v>
      </c>
      <c r="D495" s="96"/>
      <c r="E495" s="96"/>
      <c r="F495" s="100"/>
      <c r="G495" s="94">
        <f>IF('Input Global'!$B$60="frontier number",'Input Frontier'!G84,IF('Input Global'!$B$60="CPI",$F$368*(1+inflation),$F$368*('Input Frontier'!G84/'Input Frontier'!F84)))</f>
        <v>0</v>
      </c>
      <c r="H495" s="94">
        <f>IF('Input Global'!$B$60="frontier number",'Input Frontier'!H84,IF('Input Global'!$B$60="CPI",$F$368*(1+inflation)^2,G495*('Input Frontier'!H84/'Input Frontier'!G84)))</f>
        <v>0</v>
      </c>
    </row>
    <row r="496" spans="1:11" s="87" customFormat="1" hidden="1" x14ac:dyDescent="0.3">
      <c r="B496" s="96"/>
      <c r="C496" s="96"/>
      <c r="D496" s="96"/>
      <c r="E496" s="96"/>
      <c r="F496" s="100"/>
      <c r="G496" s="42"/>
      <c r="H496" s="42"/>
    </row>
    <row r="497" spans="1:8" s="87" customFormat="1" hidden="1" x14ac:dyDescent="0.3">
      <c r="A497" s="97" t="str">
        <f>Dist3</f>
        <v>blank</v>
      </c>
      <c r="B497" s="96"/>
      <c r="C497" s="96"/>
      <c r="D497" s="96"/>
      <c r="E497" s="96"/>
      <c r="F497" s="100"/>
      <c r="G497" s="100"/>
      <c r="H497" s="100"/>
    </row>
    <row r="498" spans="1:8" s="87" customFormat="1" hidden="1" x14ac:dyDescent="0.3">
      <c r="A498" s="87" t="str">
        <f ca="1">'Calc (Jurisdiction)'!$B$2</f>
        <v>Calc (Jurisdiction)</v>
      </c>
      <c r="B498" s="136" t="s">
        <v>37</v>
      </c>
      <c r="C498" s="87" t="s">
        <v>11</v>
      </c>
      <c r="D498" s="96"/>
      <c r="E498" s="96"/>
      <c r="F498" s="100"/>
      <c r="G498" s="135"/>
      <c r="H498" s="135"/>
    </row>
    <row r="499" spans="1:8" s="87" customFormat="1" hidden="1" x14ac:dyDescent="0.3">
      <c r="A499" s="87" t="e">
        <f>#REF!</f>
        <v>#REF!</v>
      </c>
      <c r="B499" s="96" t="s">
        <v>37</v>
      </c>
      <c r="C499" s="87" t="s">
        <v>11</v>
      </c>
      <c r="D499" s="96"/>
      <c r="E499" s="96"/>
      <c r="F499" s="100"/>
      <c r="G499" s="94">
        <f>IF('Input Global'!$B$60="frontier number",'Input Frontier'!G87,IF('Input Global'!$B$60="CPI",$F$379*(1+inflation),$F$379*('Input Frontier'!G87/'Input Frontier'!F87)))</f>
        <v>0</v>
      </c>
      <c r="H499" s="94">
        <f>IF('Input Global'!$B$60="frontier number",'Input Frontier'!H87,IF('Input Global'!$B$60="CPI",$F$379*(1+inflation)^2,G499*('Input Frontier'!H87/'Input Frontier'!G87)))</f>
        <v>0</v>
      </c>
    </row>
    <row r="500" spans="1:8" s="87" customFormat="1" hidden="1" x14ac:dyDescent="0.3">
      <c r="A500" s="87" t="e">
        <f>#REF!</f>
        <v>#REF!</v>
      </c>
      <c r="B500" s="96" t="s">
        <v>37</v>
      </c>
      <c r="C500" s="87" t="s">
        <v>11</v>
      </c>
      <c r="D500" s="96"/>
      <c r="E500" s="96"/>
      <c r="F500" s="100"/>
      <c r="G500" s="94">
        <f>IF('Input Global'!$B$60="frontier number",'Input Frontier'!G88,IF('Input Global'!$B$60="CPI",$F$379*(1+inflation),$F$379*('Input Frontier'!G88/'Input Frontier'!F88)))</f>
        <v>0</v>
      </c>
      <c r="H500" s="94">
        <f>IF('Input Global'!$B$60="frontier number",'Input Frontier'!H88,IF('Input Global'!$B$60="CPI",$F$379*(1+inflation)^2,G500*('Input Frontier'!H88/'Input Frontier'!G88)))</f>
        <v>0</v>
      </c>
    </row>
    <row r="501" spans="1:8" s="87" customFormat="1" hidden="1" x14ac:dyDescent="0.3">
      <c r="A501" s="87" t="e">
        <f>#REF!</f>
        <v>#REF!</v>
      </c>
      <c r="B501" s="96" t="s">
        <v>37</v>
      </c>
      <c r="C501" s="87" t="s">
        <v>11</v>
      </c>
      <c r="D501" s="96"/>
      <c r="E501" s="96"/>
      <c r="F501" s="100"/>
      <c r="G501" s="94">
        <f>IF('Input Global'!$B$60="frontier number",'Input Frontier'!G89,IF('Input Global'!$B$60="CPI",$F$379*(1+inflation),$F$379*('Input Frontier'!G89/'Input Frontier'!F89)))</f>
        <v>0</v>
      </c>
      <c r="H501" s="94">
        <f>IF('Input Global'!$B$60="frontier number",'Input Frontier'!H89,IF('Input Global'!$B$60="CPI",$F$379*(1+inflation)^2,G501*('Input Frontier'!H89/'Input Frontier'!G89)))</f>
        <v>0</v>
      </c>
    </row>
    <row r="502" spans="1:8" s="87" customFormat="1" hidden="1" x14ac:dyDescent="0.3">
      <c r="A502" s="87" t="e">
        <f>#REF!</f>
        <v>#REF!</v>
      </c>
      <c r="B502" s="96" t="s">
        <v>37</v>
      </c>
      <c r="C502" s="87" t="s">
        <v>11</v>
      </c>
      <c r="D502" s="96"/>
      <c r="E502" s="96"/>
      <c r="F502" s="100"/>
      <c r="G502" s="94">
        <f>IF('Input Global'!$B$60="frontier number",'Input Frontier'!G90,IF('Input Global'!$B$60="CPI",$F$379*(1+inflation),$F$379*('Input Frontier'!G90/'Input Frontier'!F90)))</f>
        <v>0</v>
      </c>
      <c r="H502" s="94">
        <f>IF('Input Global'!$B$60="frontier number",'Input Frontier'!H90,IF('Input Global'!$B$60="CPI",$F$379*(1+inflation)^2,G502*('Input Frontier'!H90/'Input Frontier'!G90)))</f>
        <v>0</v>
      </c>
    </row>
    <row r="503" spans="1:8" s="87" customFormat="1" hidden="1" x14ac:dyDescent="0.3">
      <c r="B503" s="96"/>
      <c r="C503" s="96"/>
      <c r="D503" s="96"/>
      <c r="E503" s="96"/>
      <c r="F503" s="100"/>
      <c r="G503" s="42"/>
      <c r="H503" s="42"/>
    </row>
    <row r="504" spans="1:8" s="87" customFormat="1" hidden="1" x14ac:dyDescent="0.3">
      <c r="A504" s="97" t="str">
        <f>Dist4</f>
        <v>blank</v>
      </c>
      <c r="B504" s="96"/>
      <c r="C504" s="96"/>
      <c r="D504" s="96"/>
      <c r="E504" s="96"/>
      <c r="F504" s="100"/>
      <c r="G504" s="100"/>
      <c r="H504" s="117"/>
    </row>
    <row r="505" spans="1:8" s="87" customFormat="1" hidden="1" x14ac:dyDescent="0.3">
      <c r="A505" s="87" t="str">
        <f ca="1">'Calc (Jurisdiction)'!$B$2</f>
        <v>Calc (Jurisdiction)</v>
      </c>
      <c r="B505" s="136" t="s">
        <v>37</v>
      </c>
      <c r="C505" s="87" t="s">
        <v>11</v>
      </c>
      <c r="D505" s="96"/>
      <c r="E505" s="96"/>
      <c r="F505" s="100"/>
      <c r="G505" s="135"/>
      <c r="H505" s="135"/>
    </row>
    <row r="506" spans="1:8" s="87" customFormat="1" hidden="1" x14ac:dyDescent="0.3">
      <c r="A506" s="87" t="e">
        <f>#REF!</f>
        <v>#REF!</v>
      </c>
      <c r="B506" s="96" t="s">
        <v>37</v>
      </c>
      <c r="C506" s="87" t="s">
        <v>11</v>
      </c>
      <c r="D506" s="96"/>
      <c r="E506" s="96"/>
      <c r="F506" s="100"/>
      <c r="G506" s="94">
        <f>IF('Input Global'!$B$60="frontier number",'Input Frontier'!G93,IF('Input Global'!$B$60="CPI",$F$390*(1+inflation),$F$390*('Input Frontier'!G93/'Input Frontier'!F93)))</f>
        <v>0</v>
      </c>
      <c r="H506" s="94">
        <f>IF('Input Global'!$B$60="frontier number",'Input Frontier'!H93,IF('Input Global'!$B$60="CPI",$F$390*(1+inflation)^2,G506*('Input Frontier'!H93/'Input Frontier'!G93)))</f>
        <v>0</v>
      </c>
    </row>
    <row r="507" spans="1:8" s="87" customFormat="1" hidden="1" x14ac:dyDescent="0.3">
      <c r="A507" s="87" t="e">
        <f>#REF!</f>
        <v>#REF!</v>
      </c>
      <c r="B507" s="96" t="s">
        <v>37</v>
      </c>
      <c r="C507" s="87" t="s">
        <v>11</v>
      </c>
      <c r="D507" s="96"/>
      <c r="E507" s="96"/>
      <c r="F507" s="100"/>
      <c r="G507" s="94">
        <f>IF('Input Global'!$B$60="frontier number",'Input Frontier'!G94,IF('Input Global'!$B$60="CPI",$F$390*(1+inflation),$F$390*('Input Frontier'!G94/'Input Frontier'!F94)))</f>
        <v>0</v>
      </c>
      <c r="H507" s="94">
        <f>IF('Input Global'!$B$60="frontier number",'Input Frontier'!H94,IF('Input Global'!$B$60="CPI",$F$390*(1+inflation)^2,G507*('Input Frontier'!H94/'Input Frontier'!G94)))</f>
        <v>0</v>
      </c>
    </row>
    <row r="508" spans="1:8" s="87" customFormat="1" hidden="1" x14ac:dyDescent="0.3">
      <c r="A508" s="87" t="e">
        <f>#REF!</f>
        <v>#REF!</v>
      </c>
      <c r="B508" s="96" t="s">
        <v>37</v>
      </c>
      <c r="C508" s="87" t="s">
        <v>11</v>
      </c>
      <c r="D508" s="96"/>
      <c r="E508" s="96"/>
      <c r="F508" s="100"/>
      <c r="G508" s="94">
        <f>IF('Input Global'!$B$60="frontier number",'Input Frontier'!G95,IF('Input Global'!$B$60="CPI",$F$390*(1+inflation),$F$390*('Input Frontier'!G95/'Input Frontier'!F95)))</f>
        <v>0</v>
      </c>
      <c r="H508" s="94">
        <f>IF('Input Global'!$B$60="frontier number",'Input Frontier'!H95,IF('Input Global'!$B$60="CPI",$F$390*(1+inflation)^2,G508*('Input Frontier'!H95/'Input Frontier'!G95)))</f>
        <v>0</v>
      </c>
    </row>
    <row r="509" spans="1:8" s="87" customFormat="1" hidden="1" x14ac:dyDescent="0.3">
      <c r="A509" s="87" t="e">
        <f>#REF!</f>
        <v>#REF!</v>
      </c>
      <c r="B509" s="96" t="s">
        <v>37</v>
      </c>
      <c r="C509" s="87" t="s">
        <v>11</v>
      </c>
      <c r="D509" s="96"/>
      <c r="E509" s="96"/>
      <c r="F509" s="100"/>
      <c r="G509" s="94">
        <f>IF('Input Global'!$B$60="frontier number",'Input Frontier'!G96,IF('Input Global'!$B$60="CPI",$F$390*(1+inflation),$F$390*('Input Frontier'!G96/'Input Frontier'!F96)))</f>
        <v>0</v>
      </c>
      <c r="H509" s="94">
        <f>IF('Input Global'!$B$60="frontier number",'Input Frontier'!H96,IF('Input Global'!$B$60="CPI",$F$390*(1+inflation)^2,G509*('Input Frontier'!H96/'Input Frontier'!G96)))</f>
        <v>0</v>
      </c>
    </row>
    <row r="510" spans="1:8" s="87" customFormat="1" hidden="1" x14ac:dyDescent="0.3">
      <c r="B510" s="96"/>
      <c r="C510" s="96"/>
      <c r="D510" s="96"/>
      <c r="E510" s="96"/>
      <c r="F510" s="100"/>
      <c r="G510" s="42"/>
      <c r="H510" s="42"/>
    </row>
    <row r="511" spans="1:8" s="87" customFormat="1" hidden="1" x14ac:dyDescent="0.3">
      <c r="A511" s="97" t="str">
        <f>Dist5</f>
        <v>blank</v>
      </c>
      <c r="B511" s="96"/>
      <c r="C511" s="96"/>
      <c r="D511" s="96"/>
      <c r="E511" s="96"/>
      <c r="F511" s="100"/>
      <c r="G511" s="100"/>
      <c r="H511" s="100"/>
    </row>
    <row r="512" spans="1:8" s="87" customFormat="1" hidden="1" x14ac:dyDescent="0.3">
      <c r="A512" s="87" t="str">
        <f ca="1">'Calc (Jurisdiction)'!$B$2</f>
        <v>Calc (Jurisdiction)</v>
      </c>
      <c r="B512" s="136" t="s">
        <v>37</v>
      </c>
      <c r="C512" s="87" t="s">
        <v>11</v>
      </c>
      <c r="D512" s="96"/>
      <c r="E512" s="96"/>
      <c r="F512" s="100"/>
      <c r="G512" s="135"/>
      <c r="H512" s="135"/>
    </row>
    <row r="513" spans="1:10" s="87" customFormat="1" hidden="1" x14ac:dyDescent="0.3">
      <c r="A513" s="87" t="e">
        <f>#REF!</f>
        <v>#REF!</v>
      </c>
      <c r="B513" s="96" t="s">
        <v>37</v>
      </c>
      <c r="C513" s="87" t="s">
        <v>11</v>
      </c>
      <c r="D513" s="96"/>
      <c r="E513" s="96"/>
      <c r="F513" s="100"/>
      <c r="G513" s="94">
        <f>IF('Input Global'!$B$60="frontier number",'Input Frontier'!G99,IF('Input Global'!$B$60="CPI",$F$401*(1+inflation),$F$401*('Input Frontier'!G99/'Input Frontier'!F99)))</f>
        <v>0</v>
      </c>
      <c r="H513" s="94">
        <f>IF('Input Global'!$B$60="frontier number",'Input Frontier'!H99,IF('Input Global'!$B$60="CPI",$F$401*(1+inflation)^2,G513*('Input Frontier'!H99/'Input Frontier'!G99)))</f>
        <v>0</v>
      </c>
    </row>
    <row r="514" spans="1:10" s="87" customFormat="1" hidden="1" x14ac:dyDescent="0.3">
      <c r="A514" s="87" t="e">
        <f>#REF!</f>
        <v>#REF!</v>
      </c>
      <c r="B514" s="96" t="s">
        <v>37</v>
      </c>
      <c r="C514" s="87" t="s">
        <v>11</v>
      </c>
      <c r="D514" s="96"/>
      <c r="E514" s="96"/>
      <c r="F514" s="100"/>
      <c r="G514" s="94">
        <f>IF('Input Global'!$B$60="frontier number",'Input Frontier'!G100,IF('Input Global'!$B$60="CPI",$F$401*(1+inflation),$F$401*('Input Frontier'!G100/'Input Frontier'!F100)))</f>
        <v>0</v>
      </c>
      <c r="H514" s="94">
        <f>IF('Input Global'!$B$60="frontier number",'Input Frontier'!H100,IF('Input Global'!$B$60="CPI",$F$401*(1+inflation)^2,G514*('Input Frontier'!H100/'Input Frontier'!G100)))</f>
        <v>0</v>
      </c>
    </row>
    <row r="515" spans="1:10" s="87" customFormat="1" hidden="1" x14ac:dyDescent="0.3">
      <c r="A515" s="87" t="e">
        <f>#REF!</f>
        <v>#REF!</v>
      </c>
      <c r="B515" s="96" t="s">
        <v>37</v>
      </c>
      <c r="C515" s="87" t="s">
        <v>11</v>
      </c>
      <c r="D515" s="96"/>
      <c r="E515" s="96"/>
      <c r="F515" s="100"/>
      <c r="G515" s="94">
        <f>IF('Input Global'!$B$60="frontier number",'Input Frontier'!G101,IF('Input Global'!$B$60="CPI",$F$401*(1+inflation),$F$401*('Input Frontier'!G101/'Input Frontier'!F101)))</f>
        <v>0</v>
      </c>
      <c r="H515" s="94">
        <f>IF('Input Global'!$B$60="frontier number",'Input Frontier'!H101,IF('Input Global'!$B$60="CPI",$F$401*(1+inflation)^2,G515*('Input Frontier'!H101/'Input Frontier'!G101)))</f>
        <v>0</v>
      </c>
    </row>
    <row r="516" spans="1:10" s="87" customFormat="1" hidden="1" x14ac:dyDescent="0.3">
      <c r="A516" s="87" t="e">
        <f>#REF!</f>
        <v>#REF!</v>
      </c>
      <c r="B516" s="96" t="s">
        <v>37</v>
      </c>
      <c r="C516" s="87" t="s">
        <v>11</v>
      </c>
      <c r="D516" s="96"/>
      <c r="E516" s="96"/>
      <c r="F516" s="100"/>
      <c r="G516" s="94">
        <f>IF('Input Global'!$B$60="frontier number",'Input Frontier'!G102,IF('Input Global'!$B$60="CPI",$F$401*(1+inflation),$F$401*('Input Frontier'!G102/'Input Frontier'!F102)))</f>
        <v>0</v>
      </c>
      <c r="H516" s="94">
        <f>IF('Input Global'!$B$60="frontier number",'Input Frontier'!H102,IF('Input Global'!$B$60="CPI",$F$401*(1+inflation)^2,G516*('Input Frontier'!H102/'Input Frontier'!G102)))</f>
        <v>0</v>
      </c>
    </row>
    <row r="517" spans="1:10" s="87" customFormat="1" hidden="1" x14ac:dyDescent="0.3">
      <c r="A517" s="96"/>
      <c r="F517" s="100"/>
      <c r="G517" s="100"/>
      <c r="H517" s="100"/>
    </row>
    <row r="518" spans="1:10" s="87" customFormat="1" hidden="1" x14ac:dyDescent="0.3">
      <c r="A518" s="93" t="s">
        <v>17</v>
      </c>
      <c r="F518" s="100"/>
      <c r="G518" s="100"/>
      <c r="H518" s="100"/>
    </row>
    <row r="519" spans="1:10" s="87" customFormat="1" hidden="1" x14ac:dyDescent="0.3">
      <c r="A519" s="40" t="str">
        <f>Dist1</f>
        <v>Northern Territory</v>
      </c>
      <c r="B519" s="96" t="s">
        <v>37</v>
      </c>
      <c r="C519" s="87" t="s">
        <v>11</v>
      </c>
      <c r="D519" s="96"/>
      <c r="E519" s="96"/>
      <c r="F519" s="100"/>
      <c r="G519" s="94">
        <f>IF('Input Global'!$B$60="frontier number",'Input Frontier'!G105,IF('Input Global'!$B$60="CPI",$F$358*(1+inflation),$F$358*('Input Frontier'!G105/'Input Frontier'!F105)))</f>
        <v>0</v>
      </c>
      <c r="H519" s="94">
        <f>IF('Input Global'!$B$60="frontier number",'Input Frontier'!F105,IF('Input Global'!$B$60="CPI",$F$358*(1+inflation)^2,G519*('Input Frontier'!H105/'Input Frontier'!G105)))</f>
        <v>0</v>
      </c>
    </row>
    <row r="520" spans="1:10" s="87" customFormat="1" hidden="1" x14ac:dyDescent="0.3">
      <c r="A520" s="40" t="str">
        <f>Dist2</f>
        <v>blank</v>
      </c>
      <c r="B520" s="96" t="s">
        <v>37</v>
      </c>
      <c r="C520" s="87" t="s">
        <v>11</v>
      </c>
      <c r="D520" s="96"/>
      <c r="E520" s="96"/>
      <c r="F520" s="100"/>
      <c r="G520" s="94">
        <f>IF('Input Global'!$B$60="frontier number",'Input Frontier'!G106,IF('Input Global'!$B$60="CPI",$F$369*(1+inflation),$F$369*('Input Frontier'!G106/'Input Frontier'!F106)))</f>
        <v>0</v>
      </c>
      <c r="H520" s="94">
        <f>IF('Input Global'!$B$60="frontier number",'Input Frontier'!H106,IF('Input Global'!$B$60="CPI",$F$369*(1+inflation)^2,G520*('Input Frontier'!H106/'Input Frontier'!G106)))</f>
        <v>0</v>
      </c>
    </row>
    <row r="521" spans="1:10" s="87" customFormat="1" ht="14.25" hidden="1" customHeight="1" x14ac:dyDescent="0.3">
      <c r="A521" s="40" t="str">
        <f>Dist3</f>
        <v>blank</v>
      </c>
      <c r="B521" s="96" t="s">
        <v>37</v>
      </c>
      <c r="C521" s="87" t="s">
        <v>11</v>
      </c>
      <c r="D521" s="96"/>
      <c r="E521" s="96"/>
      <c r="F521" s="100"/>
      <c r="G521" s="94">
        <f>IF('Input Global'!$B$60="frontier number",'Input Frontier'!G107,IF('Input Global'!$B$60="CPI",$F$380*(1+inflation),$F$380*('Input Frontier'!G107/'Input Frontier'!F107)))</f>
        <v>0</v>
      </c>
      <c r="H521" s="94">
        <f>IF('Input Global'!$B$60="frontier number",'Input Frontier'!H107,IF('Input Global'!$B$60="CPI",$F$380*(1+inflation)^2,G521*('Input Frontier'!H107/'Input Frontier'!G107)))</f>
        <v>0</v>
      </c>
    </row>
    <row r="522" spans="1:10" s="87" customFormat="1" ht="14.25" hidden="1" customHeight="1" x14ac:dyDescent="0.3">
      <c r="A522" s="40" t="str">
        <f>Dist4</f>
        <v>blank</v>
      </c>
      <c r="B522" s="96" t="s">
        <v>37</v>
      </c>
      <c r="C522" s="87" t="s">
        <v>11</v>
      </c>
      <c r="D522" s="96"/>
      <c r="E522" s="96"/>
      <c r="F522" s="100"/>
      <c r="G522" s="94">
        <f>IF('Input Global'!$B$60="frontier number",'Input Frontier'!G108,IF('Input Global'!$B$60="CPI",$F$391*(1+inflation),$F$391*('Input Frontier'!G108/'Input Frontier'!F108)))</f>
        <v>0</v>
      </c>
      <c r="H522" s="94">
        <f>IF('Input Global'!$B$60="frontier number",'Input Frontier'!H108,IF('Input Global'!$B$60="CPI",$F$391*(1+inflation)^2,G522*('Input Frontier'!H108/'Input Frontier'!G108)))</f>
        <v>0</v>
      </c>
    </row>
    <row r="523" spans="1:10" s="87" customFormat="1" ht="14.25" hidden="1" customHeight="1" x14ac:dyDescent="0.3">
      <c r="A523" s="40" t="str">
        <f>Dist5</f>
        <v>blank</v>
      </c>
      <c r="B523" s="96" t="s">
        <v>37</v>
      </c>
      <c r="C523" s="87" t="s">
        <v>11</v>
      </c>
      <c r="D523" s="96"/>
      <c r="E523" s="96"/>
      <c r="F523" s="100"/>
      <c r="G523" s="94">
        <f>IF('Input Global'!$B$60="frontier number",'Input Frontier'!G109,IF('Input Global'!$B$60="CPI",$F$402*(1+inflation),$F$402*('Input Frontier'!G109/'Input Frontier'!F109)))</f>
        <v>0</v>
      </c>
      <c r="H523" s="94">
        <f>IF('Input Global'!$B$60="frontier number",'Input Frontier'!H109,IF('Input Global'!$B$60="CPI",$F$402*(1+inflation)^2,G523*('Input Frontier'!H109/'Input Frontier'!G109)))</f>
        <v>0</v>
      </c>
    </row>
    <row r="524" spans="1:10" s="87" customFormat="1" ht="14.25" hidden="1" customHeight="1" x14ac:dyDescent="0.3">
      <c r="A524" s="40"/>
      <c r="B524" s="96"/>
      <c r="C524" s="96"/>
      <c r="D524" s="96"/>
      <c r="E524" s="96"/>
      <c r="F524" s="100"/>
      <c r="G524" s="96"/>
      <c r="H524" s="96"/>
      <c r="I524" s="96"/>
      <c r="J524" s="96"/>
    </row>
    <row r="525" spans="1:10" s="87" customFormat="1" hidden="1" x14ac:dyDescent="0.3">
      <c r="A525" s="93" t="str">
        <f>Scheme1</f>
        <v>blank</v>
      </c>
      <c r="F525" s="100"/>
      <c r="G525" s="100"/>
      <c r="H525" s="100"/>
    </row>
    <row r="526" spans="1:10" s="87" customFormat="1" hidden="1" x14ac:dyDescent="0.3">
      <c r="A526" s="40" t="str">
        <f>Dist1</f>
        <v>Northern Territory</v>
      </c>
      <c r="B526" s="96"/>
      <c r="D526" s="96"/>
      <c r="E526" s="96"/>
      <c r="F526" s="100"/>
      <c r="G526" s="100"/>
      <c r="H526" s="100"/>
      <c r="I526" s="100"/>
      <c r="J526" s="100"/>
    </row>
    <row r="527" spans="1:10" s="87" customFormat="1" hidden="1" x14ac:dyDescent="0.3">
      <c r="A527" s="87" t="str">
        <f ca="1">A512</f>
        <v>Calc (Jurisdiction)</v>
      </c>
      <c r="B527" s="134"/>
      <c r="C527" s="87" t="s">
        <v>11</v>
      </c>
      <c r="D527" s="96"/>
      <c r="E527" s="96"/>
      <c r="F527" s="100"/>
      <c r="G527" s="135"/>
      <c r="H527" s="135"/>
      <c r="I527" s="100"/>
      <c r="J527" s="100"/>
    </row>
    <row r="528" spans="1:10" s="87" customFormat="1" hidden="1" x14ac:dyDescent="0.3">
      <c r="A528" s="87" t="e">
        <f>#REF!</f>
        <v>#REF!</v>
      </c>
      <c r="B528" s="134"/>
      <c r="C528" s="87" t="s">
        <v>11</v>
      </c>
      <c r="D528" s="96"/>
      <c r="E528" s="96"/>
      <c r="F528" s="100"/>
      <c r="G528" s="94"/>
      <c r="H528" s="94"/>
      <c r="I528" s="100"/>
      <c r="J528" s="100"/>
    </row>
    <row r="529" spans="1:14" s="87" customFormat="1" hidden="1" x14ac:dyDescent="0.3">
      <c r="A529" s="87" t="e">
        <f>#REF!</f>
        <v>#REF!</v>
      </c>
      <c r="B529" s="134"/>
      <c r="C529" s="87" t="s">
        <v>11</v>
      </c>
      <c r="D529" s="96"/>
      <c r="E529" s="96"/>
      <c r="F529" s="100"/>
      <c r="G529" s="94"/>
      <c r="H529" s="94"/>
      <c r="I529" s="100"/>
      <c r="J529" s="100"/>
    </row>
    <row r="530" spans="1:14" s="87" customFormat="1" hidden="1" x14ac:dyDescent="0.3">
      <c r="A530" s="87" t="e">
        <f>#REF!</f>
        <v>#REF!</v>
      </c>
      <c r="B530" s="134"/>
      <c r="C530" s="87" t="s">
        <v>11</v>
      </c>
      <c r="D530" s="96"/>
      <c r="E530" s="96"/>
      <c r="F530" s="100"/>
      <c r="G530" s="94"/>
      <c r="H530" s="94"/>
      <c r="I530" s="100"/>
      <c r="J530" s="100"/>
    </row>
    <row r="531" spans="1:14" s="87" customFormat="1" hidden="1" x14ac:dyDescent="0.3">
      <c r="A531" s="87" t="e">
        <f>#REF!</f>
        <v>#REF!</v>
      </c>
      <c r="B531" s="134"/>
      <c r="C531" s="87" t="s">
        <v>11</v>
      </c>
      <c r="D531" s="96"/>
      <c r="E531" s="96"/>
      <c r="F531" s="100"/>
      <c r="G531" s="94"/>
      <c r="H531" s="94"/>
      <c r="I531" s="100"/>
      <c r="J531" s="100"/>
    </row>
    <row r="532" spans="1:14" s="87" customFormat="1" hidden="1" x14ac:dyDescent="0.3">
      <c r="A532" s="40"/>
      <c r="B532" s="96"/>
      <c r="C532" s="96"/>
      <c r="D532" s="96"/>
      <c r="E532" s="96"/>
      <c r="F532" s="100"/>
      <c r="G532" s="100"/>
      <c r="H532" s="100"/>
      <c r="I532" s="100"/>
      <c r="J532" s="100"/>
    </row>
    <row r="533" spans="1:14" s="87" customFormat="1" hidden="1" x14ac:dyDescent="0.3">
      <c r="A533" s="40" t="str">
        <f>Dist2</f>
        <v>blank</v>
      </c>
      <c r="B533" s="96"/>
      <c r="D533" s="96"/>
      <c r="E533" s="96"/>
      <c r="F533" s="100"/>
      <c r="G533" s="100"/>
      <c r="H533" s="100"/>
      <c r="I533" s="100"/>
    </row>
    <row r="534" spans="1:14" s="87" customFormat="1" hidden="1" x14ac:dyDescent="0.3">
      <c r="A534" s="87" t="str">
        <f ca="1">A527</f>
        <v>Calc (Jurisdiction)</v>
      </c>
      <c r="B534" s="134"/>
      <c r="C534" s="87" t="s">
        <v>11</v>
      </c>
      <c r="D534" s="96"/>
      <c r="E534" s="96"/>
      <c r="F534" s="100"/>
      <c r="G534" s="135"/>
      <c r="H534" s="135"/>
      <c r="I534" s="100"/>
    </row>
    <row r="535" spans="1:14" s="87" customFormat="1" hidden="1" x14ac:dyDescent="0.3">
      <c r="A535" s="87" t="e">
        <f>#REF!</f>
        <v>#REF!</v>
      </c>
      <c r="B535" s="134"/>
      <c r="C535" s="87" t="s">
        <v>11</v>
      </c>
      <c r="D535" s="96"/>
      <c r="E535" s="96"/>
      <c r="F535" s="100"/>
      <c r="G535" s="94"/>
      <c r="H535" s="94"/>
      <c r="I535" s="100"/>
    </row>
    <row r="536" spans="1:14" s="87" customFormat="1" hidden="1" x14ac:dyDescent="0.3">
      <c r="A536" s="87" t="e">
        <f>#REF!</f>
        <v>#REF!</v>
      </c>
      <c r="B536" s="134"/>
      <c r="C536" s="87" t="s">
        <v>11</v>
      </c>
      <c r="D536" s="96"/>
      <c r="E536" s="96"/>
      <c r="F536" s="100"/>
      <c r="G536" s="94"/>
      <c r="H536" s="94"/>
      <c r="I536" s="100"/>
    </row>
    <row r="537" spans="1:14" s="87" customFormat="1" hidden="1" x14ac:dyDescent="0.3">
      <c r="A537" s="87" t="e">
        <f>#REF!</f>
        <v>#REF!</v>
      </c>
      <c r="B537" s="134"/>
      <c r="C537" s="87" t="s">
        <v>11</v>
      </c>
      <c r="D537" s="96"/>
      <c r="E537" s="96"/>
      <c r="F537" s="100"/>
      <c r="G537" s="94"/>
      <c r="H537" s="94"/>
      <c r="I537" s="100"/>
    </row>
    <row r="538" spans="1:14" s="87" customFormat="1" hidden="1" x14ac:dyDescent="0.3">
      <c r="A538" s="87" t="e">
        <f>#REF!</f>
        <v>#REF!</v>
      </c>
      <c r="B538" s="134"/>
      <c r="C538" s="87" t="s">
        <v>11</v>
      </c>
      <c r="D538" s="96"/>
      <c r="E538" s="96"/>
      <c r="F538" s="100"/>
      <c r="G538" s="94"/>
      <c r="H538" s="94"/>
      <c r="I538" s="100"/>
    </row>
    <row r="539" spans="1:14" s="87" customFormat="1" hidden="1" x14ac:dyDescent="0.3">
      <c r="A539" s="40"/>
      <c r="B539" s="96"/>
      <c r="C539" s="96"/>
      <c r="D539" s="96"/>
      <c r="E539" s="96"/>
      <c r="F539" s="96"/>
      <c r="G539" s="96"/>
      <c r="H539" s="96"/>
      <c r="I539" s="96"/>
      <c r="J539" s="96"/>
      <c r="K539" s="96"/>
      <c r="L539" s="96"/>
      <c r="M539" s="96"/>
      <c r="N539" s="96"/>
    </row>
    <row r="540" spans="1:14" s="87" customFormat="1" hidden="1" x14ac:dyDescent="0.3">
      <c r="A540" s="40" t="str">
        <f>Dist3</f>
        <v>blank</v>
      </c>
      <c r="B540" s="96"/>
      <c r="D540" s="96"/>
      <c r="E540" s="96"/>
      <c r="F540" s="100"/>
      <c r="G540" s="100"/>
      <c r="H540" s="100"/>
      <c r="I540" s="100"/>
    </row>
    <row r="541" spans="1:14" s="87" customFormat="1" hidden="1" x14ac:dyDescent="0.3">
      <c r="A541" s="87" t="str">
        <f ca="1">A534</f>
        <v>Calc (Jurisdiction)</v>
      </c>
      <c r="B541" s="134"/>
      <c r="C541" s="87" t="s">
        <v>11</v>
      </c>
      <c r="D541" s="96"/>
      <c r="E541" s="96"/>
      <c r="F541" s="100"/>
      <c r="G541" s="135"/>
      <c r="H541" s="135"/>
      <c r="I541" s="100"/>
    </row>
    <row r="542" spans="1:14" s="87" customFormat="1" hidden="1" x14ac:dyDescent="0.3">
      <c r="A542" s="87" t="e">
        <f>#REF!</f>
        <v>#REF!</v>
      </c>
      <c r="B542" s="134"/>
      <c r="C542" s="87" t="s">
        <v>11</v>
      </c>
      <c r="D542" s="96"/>
      <c r="E542" s="96"/>
      <c r="F542" s="100"/>
      <c r="G542" s="94"/>
      <c r="H542" s="94"/>
      <c r="I542" s="100"/>
    </row>
    <row r="543" spans="1:14" s="87" customFormat="1" hidden="1" x14ac:dyDescent="0.3">
      <c r="A543" s="87" t="e">
        <f>#REF!</f>
        <v>#REF!</v>
      </c>
      <c r="B543" s="134"/>
      <c r="C543" s="87" t="s">
        <v>11</v>
      </c>
      <c r="D543" s="96"/>
      <c r="E543" s="96"/>
      <c r="F543" s="100"/>
      <c r="G543" s="94"/>
      <c r="H543" s="94"/>
      <c r="I543" s="100"/>
    </row>
    <row r="544" spans="1:14" s="87" customFormat="1" hidden="1" x14ac:dyDescent="0.3">
      <c r="A544" s="87" t="e">
        <f>#REF!</f>
        <v>#REF!</v>
      </c>
      <c r="B544" s="134"/>
      <c r="C544" s="87" t="s">
        <v>11</v>
      </c>
      <c r="D544" s="96"/>
      <c r="E544" s="96"/>
      <c r="F544" s="100"/>
      <c r="G544" s="94"/>
      <c r="H544" s="94"/>
      <c r="I544" s="100"/>
    </row>
    <row r="545" spans="1:13" s="87" customFormat="1" hidden="1" x14ac:dyDescent="0.3">
      <c r="A545" s="87" t="e">
        <f>#REF!</f>
        <v>#REF!</v>
      </c>
      <c r="B545" s="134"/>
      <c r="C545" s="87" t="s">
        <v>11</v>
      </c>
      <c r="D545" s="96"/>
      <c r="E545" s="96"/>
      <c r="F545" s="100"/>
      <c r="G545" s="94"/>
      <c r="H545" s="94"/>
      <c r="I545" s="100"/>
    </row>
    <row r="546" spans="1:13" s="87" customFormat="1" hidden="1" x14ac:dyDescent="0.3">
      <c r="A546" s="40"/>
      <c r="B546" s="96"/>
      <c r="C546" s="96"/>
      <c r="D546" s="96"/>
      <c r="E546" s="96"/>
      <c r="F546" s="96"/>
      <c r="G546" s="96"/>
      <c r="H546" s="96"/>
      <c r="I546" s="93"/>
      <c r="J546" s="96"/>
      <c r="K546" s="96"/>
    </row>
    <row r="547" spans="1:13" s="87" customFormat="1" hidden="1" x14ac:dyDescent="0.3">
      <c r="A547" s="40" t="str">
        <f>Dist4</f>
        <v>blank</v>
      </c>
      <c r="B547" s="96"/>
      <c r="D547" s="96"/>
      <c r="E547" s="96"/>
      <c r="F547" s="100"/>
      <c r="G547" s="100"/>
      <c r="H547" s="100"/>
      <c r="I547" s="100"/>
    </row>
    <row r="548" spans="1:13" s="87" customFormat="1" hidden="1" x14ac:dyDescent="0.3">
      <c r="A548" s="87" t="str">
        <f ca="1">A541</f>
        <v>Calc (Jurisdiction)</v>
      </c>
      <c r="B548" s="134"/>
      <c r="C548" s="87" t="s">
        <v>11</v>
      </c>
      <c r="D548" s="96"/>
      <c r="E548" s="96"/>
      <c r="F548" s="100"/>
      <c r="G548" s="135"/>
      <c r="H548" s="135"/>
      <c r="I548" s="100"/>
    </row>
    <row r="549" spans="1:13" s="87" customFormat="1" hidden="1" x14ac:dyDescent="0.3">
      <c r="A549" s="87" t="e">
        <f>#REF!</f>
        <v>#REF!</v>
      </c>
      <c r="B549" s="134"/>
      <c r="C549" s="87" t="s">
        <v>11</v>
      </c>
      <c r="D549" s="96"/>
      <c r="E549" s="96"/>
      <c r="F549" s="100"/>
      <c r="G549" s="94"/>
      <c r="H549" s="94"/>
      <c r="I549" s="100"/>
    </row>
    <row r="550" spans="1:13" s="87" customFormat="1" hidden="1" x14ac:dyDescent="0.3">
      <c r="A550" s="87" t="e">
        <f>#REF!</f>
        <v>#REF!</v>
      </c>
      <c r="B550" s="134"/>
      <c r="C550" s="87" t="s">
        <v>11</v>
      </c>
      <c r="D550" s="96"/>
      <c r="E550" s="96"/>
      <c r="F550" s="100"/>
      <c r="G550" s="94"/>
      <c r="H550" s="94"/>
      <c r="I550" s="100"/>
    </row>
    <row r="551" spans="1:13" s="87" customFormat="1" hidden="1" x14ac:dyDescent="0.3">
      <c r="A551" s="87" t="e">
        <f>#REF!</f>
        <v>#REF!</v>
      </c>
      <c r="B551" s="134"/>
      <c r="C551" s="87" t="s">
        <v>11</v>
      </c>
      <c r="D551" s="96"/>
      <c r="E551" s="96"/>
      <c r="F551" s="100"/>
      <c r="G551" s="94"/>
      <c r="H551" s="94"/>
      <c r="I551" s="100"/>
    </row>
    <row r="552" spans="1:13" s="87" customFormat="1" hidden="1" x14ac:dyDescent="0.3">
      <c r="A552" s="87" t="e">
        <f>#REF!</f>
        <v>#REF!</v>
      </c>
      <c r="B552" s="134"/>
      <c r="C552" s="87" t="s">
        <v>11</v>
      </c>
      <c r="D552" s="96"/>
      <c r="E552" s="96"/>
      <c r="F552" s="100"/>
      <c r="G552" s="94"/>
      <c r="H552" s="94"/>
      <c r="I552" s="100"/>
    </row>
    <row r="553" spans="1:13" s="87" customFormat="1" hidden="1" x14ac:dyDescent="0.3">
      <c r="B553" s="96"/>
      <c r="C553" s="96"/>
      <c r="D553" s="96"/>
      <c r="E553" s="96"/>
      <c r="F553" s="96"/>
      <c r="G553" s="96"/>
      <c r="H553" s="96"/>
      <c r="I553" s="96"/>
      <c r="J553" s="96"/>
      <c r="K553" s="96"/>
      <c r="L553" s="96"/>
      <c r="M553" s="96"/>
    </row>
    <row r="554" spans="1:13" s="87" customFormat="1" hidden="1" x14ac:dyDescent="0.3">
      <c r="A554" s="40" t="str">
        <f>Dist5</f>
        <v>blank</v>
      </c>
      <c r="B554" s="96"/>
      <c r="D554" s="96"/>
      <c r="E554" s="96"/>
      <c r="F554" s="100"/>
      <c r="G554" s="100"/>
      <c r="H554" s="100"/>
      <c r="I554" s="100"/>
    </row>
    <row r="555" spans="1:13" s="87" customFormat="1" hidden="1" x14ac:dyDescent="0.3">
      <c r="A555" s="87" t="str">
        <f ca="1">A548</f>
        <v>Calc (Jurisdiction)</v>
      </c>
      <c r="B555" s="134"/>
      <c r="C555" s="87" t="s">
        <v>11</v>
      </c>
      <c r="D555" s="96"/>
      <c r="E555" s="96"/>
      <c r="F555" s="100"/>
      <c r="G555" s="135"/>
      <c r="H555" s="135"/>
      <c r="I555" s="100"/>
    </row>
    <row r="556" spans="1:13" s="87" customFormat="1" hidden="1" x14ac:dyDescent="0.3">
      <c r="A556" s="87" t="e">
        <f>#REF!</f>
        <v>#REF!</v>
      </c>
      <c r="B556" s="134"/>
      <c r="C556" s="87" t="s">
        <v>11</v>
      </c>
      <c r="D556" s="96"/>
      <c r="E556" s="96"/>
      <c r="F556" s="100"/>
      <c r="G556" s="94"/>
      <c r="H556" s="94"/>
      <c r="I556" s="100"/>
    </row>
    <row r="557" spans="1:13" s="87" customFormat="1" hidden="1" x14ac:dyDescent="0.3">
      <c r="A557" s="87" t="e">
        <f>#REF!</f>
        <v>#REF!</v>
      </c>
      <c r="B557" s="134"/>
      <c r="C557" s="87" t="s">
        <v>11</v>
      </c>
      <c r="D557" s="96"/>
      <c r="E557" s="96"/>
      <c r="F557" s="100"/>
      <c r="G557" s="94"/>
      <c r="H557" s="94"/>
      <c r="I557" s="100"/>
    </row>
    <row r="558" spans="1:13" s="87" customFormat="1" hidden="1" x14ac:dyDescent="0.3">
      <c r="A558" s="87" t="e">
        <f>#REF!</f>
        <v>#REF!</v>
      </c>
      <c r="B558" s="134"/>
      <c r="C558" s="87" t="s">
        <v>11</v>
      </c>
      <c r="D558" s="96"/>
      <c r="E558" s="96"/>
      <c r="F558" s="100"/>
      <c r="G558" s="94"/>
      <c r="H558" s="94"/>
      <c r="I558" s="100"/>
    </row>
    <row r="559" spans="1:13" s="87" customFormat="1" hidden="1" x14ac:dyDescent="0.3">
      <c r="A559" s="87" t="e">
        <f>#REF!</f>
        <v>#REF!</v>
      </c>
      <c r="B559" s="134"/>
      <c r="C559" s="87" t="s">
        <v>11</v>
      </c>
      <c r="D559" s="96"/>
      <c r="E559" s="96"/>
      <c r="F559" s="100"/>
      <c r="G559" s="94"/>
      <c r="H559" s="94"/>
      <c r="I559" s="100"/>
    </row>
    <row r="560" spans="1:13" s="87" customFormat="1" hidden="1" x14ac:dyDescent="0.3">
      <c r="A560" s="40"/>
      <c r="B560" s="96"/>
      <c r="C560" s="96"/>
      <c r="D560" s="96"/>
      <c r="E560" s="96"/>
      <c r="F560" s="96"/>
      <c r="G560" s="96"/>
      <c r="H560" s="96"/>
      <c r="I560" s="96"/>
      <c r="J560" s="96"/>
      <c r="K560" s="96"/>
    </row>
    <row r="561" spans="1:14" s="87" customFormat="1" hidden="1" x14ac:dyDescent="0.3">
      <c r="A561" s="93" t="str">
        <f>Scheme2</f>
        <v>blank</v>
      </c>
    </row>
    <row r="562" spans="1:14" s="87" customFormat="1" hidden="1" x14ac:dyDescent="0.3">
      <c r="A562" s="40" t="str">
        <f>Dist1</f>
        <v>Northern Territory</v>
      </c>
      <c r="B562" s="96"/>
      <c r="D562" s="96"/>
      <c r="E562" s="96"/>
      <c r="F562" s="100"/>
      <c r="G562" s="100"/>
      <c r="H562" s="100"/>
      <c r="I562" s="100"/>
      <c r="J562" s="100"/>
    </row>
    <row r="563" spans="1:14" s="87" customFormat="1" hidden="1" x14ac:dyDescent="0.3">
      <c r="A563" s="87" t="str">
        <f ca="1">A548</f>
        <v>Calc (Jurisdiction)</v>
      </c>
      <c r="B563" s="134"/>
      <c r="C563" s="87" t="s">
        <v>11</v>
      </c>
      <c r="D563" s="96"/>
      <c r="E563" s="96"/>
      <c r="F563" s="100"/>
      <c r="G563" s="135"/>
      <c r="H563" s="135"/>
      <c r="I563" s="100"/>
      <c r="J563" s="100"/>
    </row>
    <row r="564" spans="1:14" s="87" customFormat="1" hidden="1" x14ac:dyDescent="0.3">
      <c r="A564" s="87" t="e">
        <f>#REF!</f>
        <v>#REF!</v>
      </c>
      <c r="B564" s="134"/>
      <c r="C564" s="87" t="s">
        <v>11</v>
      </c>
      <c r="D564" s="96"/>
      <c r="E564" s="96"/>
      <c r="F564" s="100"/>
      <c r="G564" s="94"/>
      <c r="H564" s="94"/>
      <c r="I564" s="100"/>
      <c r="J564" s="100"/>
    </row>
    <row r="565" spans="1:14" s="87" customFormat="1" hidden="1" x14ac:dyDescent="0.3">
      <c r="A565" s="87" t="e">
        <f>#REF!</f>
        <v>#REF!</v>
      </c>
      <c r="B565" s="134"/>
      <c r="C565" s="87" t="s">
        <v>11</v>
      </c>
      <c r="D565" s="96"/>
      <c r="E565" s="96"/>
      <c r="F565" s="100"/>
      <c r="G565" s="94"/>
      <c r="H565" s="94"/>
      <c r="I565" s="100"/>
      <c r="J565" s="100"/>
    </row>
    <row r="566" spans="1:14" s="87" customFormat="1" hidden="1" x14ac:dyDescent="0.3">
      <c r="A566" s="87" t="e">
        <f>#REF!</f>
        <v>#REF!</v>
      </c>
      <c r="B566" s="134"/>
      <c r="C566" s="87" t="s">
        <v>11</v>
      </c>
      <c r="D566" s="96"/>
      <c r="E566" s="96"/>
      <c r="F566" s="100"/>
      <c r="G566" s="94"/>
      <c r="H566" s="94"/>
      <c r="I566" s="100"/>
      <c r="J566" s="100"/>
    </row>
    <row r="567" spans="1:14" s="87" customFormat="1" hidden="1" x14ac:dyDescent="0.3">
      <c r="A567" s="87" t="e">
        <f>#REF!</f>
        <v>#REF!</v>
      </c>
      <c r="B567" s="134"/>
      <c r="C567" s="87" t="s">
        <v>11</v>
      </c>
      <c r="D567" s="96"/>
      <c r="E567" s="96"/>
      <c r="F567" s="100"/>
      <c r="G567" s="94"/>
      <c r="H567" s="94"/>
      <c r="I567" s="100"/>
      <c r="J567" s="100"/>
    </row>
    <row r="568" spans="1:14" s="87" customFormat="1" hidden="1" x14ac:dyDescent="0.3">
      <c r="A568" s="40"/>
      <c r="B568" s="96"/>
      <c r="C568" s="96"/>
      <c r="D568" s="96"/>
      <c r="E568" s="96"/>
      <c r="F568" s="100"/>
      <c r="G568" s="100"/>
      <c r="H568" s="100"/>
      <c r="I568" s="100"/>
      <c r="J568" s="100"/>
    </row>
    <row r="569" spans="1:14" s="87" customFormat="1" hidden="1" x14ac:dyDescent="0.3">
      <c r="A569" s="40" t="str">
        <f>Dist2</f>
        <v>blank</v>
      </c>
      <c r="B569" s="96"/>
      <c r="D569" s="96"/>
      <c r="E569" s="96"/>
      <c r="F569" s="100"/>
      <c r="G569" s="100"/>
      <c r="H569" s="100"/>
      <c r="I569" s="100"/>
    </row>
    <row r="570" spans="1:14" s="87" customFormat="1" hidden="1" x14ac:dyDescent="0.3">
      <c r="A570" s="87" t="str">
        <f ca="1">A563</f>
        <v>Calc (Jurisdiction)</v>
      </c>
      <c r="B570" s="134"/>
      <c r="C570" s="87" t="s">
        <v>11</v>
      </c>
      <c r="D570" s="96"/>
      <c r="E570" s="96"/>
      <c r="F570" s="100"/>
      <c r="G570" s="135"/>
      <c r="H570" s="135"/>
      <c r="I570" s="100"/>
    </row>
    <row r="571" spans="1:14" s="87" customFormat="1" hidden="1" x14ac:dyDescent="0.3">
      <c r="A571" s="87" t="e">
        <f>#REF!</f>
        <v>#REF!</v>
      </c>
      <c r="B571" s="134"/>
      <c r="C571" s="87" t="s">
        <v>11</v>
      </c>
      <c r="D571" s="96"/>
      <c r="E571" s="96"/>
      <c r="F571" s="100"/>
      <c r="G571" s="94"/>
      <c r="H571" s="94"/>
      <c r="I571" s="100"/>
    </row>
    <row r="572" spans="1:14" s="87" customFormat="1" hidden="1" x14ac:dyDescent="0.3">
      <c r="A572" s="87" t="e">
        <f>#REF!</f>
        <v>#REF!</v>
      </c>
      <c r="B572" s="134"/>
      <c r="C572" s="87" t="s">
        <v>11</v>
      </c>
      <c r="D572" s="96"/>
      <c r="E572" s="96"/>
      <c r="F572" s="100"/>
      <c r="G572" s="94"/>
      <c r="H572" s="94"/>
      <c r="I572" s="100"/>
    </row>
    <row r="573" spans="1:14" s="87" customFormat="1" hidden="1" x14ac:dyDescent="0.3">
      <c r="A573" s="87" t="e">
        <f>#REF!</f>
        <v>#REF!</v>
      </c>
      <c r="B573" s="134"/>
      <c r="C573" s="87" t="s">
        <v>11</v>
      </c>
      <c r="D573" s="96"/>
      <c r="E573" s="96"/>
      <c r="F573" s="100"/>
      <c r="G573" s="94"/>
      <c r="H573" s="94"/>
      <c r="I573" s="100"/>
    </row>
    <row r="574" spans="1:14" s="87" customFormat="1" hidden="1" x14ac:dyDescent="0.3">
      <c r="A574" s="87" t="e">
        <f>#REF!</f>
        <v>#REF!</v>
      </c>
      <c r="B574" s="134"/>
      <c r="C574" s="87" t="s">
        <v>11</v>
      </c>
      <c r="D574" s="96"/>
      <c r="E574" s="96"/>
      <c r="F574" s="100"/>
      <c r="G574" s="94"/>
      <c r="H574" s="94"/>
      <c r="I574" s="100"/>
    </row>
    <row r="575" spans="1:14" s="87" customFormat="1" hidden="1" x14ac:dyDescent="0.3">
      <c r="A575" s="40"/>
      <c r="B575" s="96"/>
      <c r="C575" s="96"/>
      <c r="D575" s="96"/>
      <c r="E575" s="96"/>
      <c r="F575" s="100"/>
      <c r="G575" s="100"/>
      <c r="H575" s="100"/>
      <c r="I575" s="96"/>
      <c r="J575" s="96"/>
      <c r="K575" s="96"/>
      <c r="L575" s="96"/>
      <c r="M575" s="96"/>
      <c r="N575" s="96"/>
    </row>
    <row r="576" spans="1:14" s="87" customFormat="1" hidden="1" x14ac:dyDescent="0.3">
      <c r="A576" s="40" t="str">
        <f>Dist3</f>
        <v>blank</v>
      </c>
      <c r="B576" s="96"/>
      <c r="D576" s="96"/>
      <c r="E576" s="96"/>
      <c r="F576" s="100"/>
      <c r="G576" s="100"/>
      <c r="H576" s="100"/>
      <c r="I576" s="100"/>
    </row>
    <row r="577" spans="1:13" s="87" customFormat="1" hidden="1" x14ac:dyDescent="0.3">
      <c r="A577" s="87" t="str">
        <f ca="1">A570</f>
        <v>Calc (Jurisdiction)</v>
      </c>
      <c r="B577" s="134"/>
      <c r="C577" s="87" t="s">
        <v>11</v>
      </c>
      <c r="D577" s="96"/>
      <c r="E577" s="96"/>
      <c r="F577" s="100"/>
      <c r="G577" s="135"/>
      <c r="H577" s="135"/>
      <c r="I577" s="100"/>
    </row>
    <row r="578" spans="1:13" s="87" customFormat="1" hidden="1" x14ac:dyDescent="0.3">
      <c r="A578" s="87" t="e">
        <f>#REF!</f>
        <v>#REF!</v>
      </c>
      <c r="B578" s="134"/>
      <c r="C578" s="87" t="s">
        <v>11</v>
      </c>
      <c r="D578" s="96"/>
      <c r="E578" s="96"/>
      <c r="F578" s="100"/>
      <c r="G578" s="94"/>
      <c r="H578" s="94"/>
      <c r="I578" s="100"/>
    </row>
    <row r="579" spans="1:13" s="87" customFormat="1" hidden="1" x14ac:dyDescent="0.3">
      <c r="A579" s="87" t="e">
        <f>#REF!</f>
        <v>#REF!</v>
      </c>
      <c r="B579" s="134"/>
      <c r="C579" s="87" t="s">
        <v>11</v>
      </c>
      <c r="D579" s="96"/>
      <c r="E579" s="96"/>
      <c r="F579" s="100"/>
      <c r="G579" s="94"/>
      <c r="H579" s="94"/>
      <c r="I579" s="100"/>
    </row>
    <row r="580" spans="1:13" s="87" customFormat="1" hidden="1" x14ac:dyDescent="0.3">
      <c r="A580" s="87" t="e">
        <f>#REF!</f>
        <v>#REF!</v>
      </c>
      <c r="B580" s="134"/>
      <c r="C580" s="87" t="s">
        <v>11</v>
      </c>
      <c r="D580" s="96"/>
      <c r="E580" s="96"/>
      <c r="F580" s="100"/>
      <c r="G580" s="94"/>
      <c r="H580" s="94"/>
      <c r="I580" s="100"/>
    </row>
    <row r="581" spans="1:13" s="87" customFormat="1" hidden="1" x14ac:dyDescent="0.3">
      <c r="A581" s="87" t="e">
        <f>#REF!</f>
        <v>#REF!</v>
      </c>
      <c r="B581" s="134"/>
      <c r="C581" s="87" t="s">
        <v>11</v>
      </c>
      <c r="D581" s="96"/>
      <c r="E581" s="96"/>
      <c r="F581" s="100"/>
      <c r="G581" s="94"/>
      <c r="H581" s="94"/>
      <c r="I581" s="100"/>
    </row>
    <row r="582" spans="1:13" s="87" customFormat="1" hidden="1" x14ac:dyDescent="0.3">
      <c r="A582" s="40"/>
      <c r="B582" s="96"/>
      <c r="C582" s="96"/>
      <c r="D582" s="96"/>
      <c r="E582" s="96"/>
      <c r="F582" s="96"/>
      <c r="G582" s="96"/>
      <c r="H582" s="96"/>
      <c r="I582" s="96"/>
      <c r="J582" s="96"/>
      <c r="K582" s="96"/>
    </row>
    <row r="583" spans="1:13" s="87" customFormat="1" hidden="1" x14ac:dyDescent="0.3">
      <c r="A583" s="40" t="str">
        <f>Dist4</f>
        <v>blank</v>
      </c>
      <c r="B583" s="96"/>
      <c r="D583" s="96"/>
      <c r="E583" s="96"/>
      <c r="F583" s="100"/>
      <c r="G583" s="100"/>
      <c r="H583" s="100"/>
      <c r="I583" s="100"/>
    </row>
    <row r="584" spans="1:13" s="87" customFormat="1" hidden="1" x14ac:dyDescent="0.3">
      <c r="A584" s="87" t="str">
        <f ca="1">A577</f>
        <v>Calc (Jurisdiction)</v>
      </c>
      <c r="B584" s="134"/>
      <c r="C584" s="87" t="s">
        <v>11</v>
      </c>
      <c r="D584" s="96"/>
      <c r="E584" s="96"/>
      <c r="F584" s="100"/>
      <c r="G584" s="135"/>
      <c r="H584" s="135"/>
      <c r="I584" s="100"/>
    </row>
    <row r="585" spans="1:13" s="87" customFormat="1" hidden="1" x14ac:dyDescent="0.3">
      <c r="A585" s="87" t="e">
        <f>#REF!</f>
        <v>#REF!</v>
      </c>
      <c r="B585" s="134"/>
      <c r="C585" s="87" t="s">
        <v>11</v>
      </c>
      <c r="D585" s="96"/>
      <c r="E585" s="96"/>
      <c r="F585" s="100"/>
      <c r="G585" s="94"/>
      <c r="H585" s="94"/>
      <c r="I585" s="100"/>
    </row>
    <row r="586" spans="1:13" s="87" customFormat="1" hidden="1" x14ac:dyDescent="0.3">
      <c r="A586" s="87" t="e">
        <f>#REF!</f>
        <v>#REF!</v>
      </c>
      <c r="B586" s="134"/>
      <c r="C586" s="87" t="s">
        <v>11</v>
      </c>
      <c r="D586" s="96"/>
      <c r="E586" s="96"/>
      <c r="F586" s="100"/>
      <c r="G586" s="94"/>
      <c r="H586" s="94"/>
      <c r="I586" s="100"/>
    </row>
    <row r="587" spans="1:13" s="87" customFormat="1" hidden="1" x14ac:dyDescent="0.3">
      <c r="A587" s="87" t="e">
        <f>#REF!</f>
        <v>#REF!</v>
      </c>
      <c r="B587" s="134"/>
      <c r="C587" s="87" t="s">
        <v>11</v>
      </c>
      <c r="D587" s="96"/>
      <c r="E587" s="96"/>
      <c r="F587" s="100"/>
      <c r="G587" s="94"/>
      <c r="H587" s="94"/>
      <c r="I587" s="100"/>
    </row>
    <row r="588" spans="1:13" s="87" customFormat="1" hidden="1" x14ac:dyDescent="0.3">
      <c r="A588" s="87" t="e">
        <f>#REF!</f>
        <v>#REF!</v>
      </c>
      <c r="B588" s="134"/>
      <c r="C588" s="87" t="s">
        <v>11</v>
      </c>
      <c r="D588" s="96"/>
      <c r="E588" s="96"/>
      <c r="F588" s="100"/>
      <c r="G588" s="94"/>
      <c r="H588" s="94"/>
      <c r="I588" s="100"/>
    </row>
    <row r="589" spans="1:13" s="87" customFormat="1" hidden="1" x14ac:dyDescent="0.3">
      <c r="B589" s="96"/>
      <c r="C589" s="96"/>
      <c r="D589" s="96"/>
      <c r="E589" s="96"/>
      <c r="F589" s="96"/>
      <c r="G589" s="96"/>
      <c r="H589" s="96"/>
      <c r="I589" s="96"/>
      <c r="J589" s="96"/>
      <c r="K589" s="96"/>
      <c r="L589" s="96"/>
      <c r="M589" s="96"/>
    </row>
    <row r="590" spans="1:13" s="87" customFormat="1" hidden="1" x14ac:dyDescent="0.3">
      <c r="A590" s="40" t="str">
        <f>Dist5</f>
        <v>blank</v>
      </c>
      <c r="B590" s="96"/>
      <c r="D590" s="96"/>
      <c r="E590" s="96"/>
      <c r="F590" s="100"/>
      <c r="G590" s="100"/>
      <c r="H590" s="100"/>
      <c r="I590" s="100"/>
      <c r="L590" s="96"/>
    </row>
    <row r="591" spans="1:13" s="87" customFormat="1" hidden="1" x14ac:dyDescent="0.3">
      <c r="A591" s="87" t="str">
        <f ca="1">A584</f>
        <v>Calc (Jurisdiction)</v>
      </c>
      <c r="B591" s="134"/>
      <c r="C591" s="87" t="s">
        <v>11</v>
      </c>
      <c r="D591" s="96"/>
      <c r="E591" s="96"/>
      <c r="F591" s="100"/>
      <c r="G591" s="135"/>
      <c r="H591" s="135"/>
      <c r="I591" s="100"/>
    </row>
    <row r="592" spans="1:13" s="87" customFormat="1" hidden="1" x14ac:dyDescent="0.3">
      <c r="A592" s="87" t="e">
        <f>#REF!</f>
        <v>#REF!</v>
      </c>
      <c r="B592" s="134"/>
      <c r="C592" s="87" t="s">
        <v>11</v>
      </c>
      <c r="D592" s="96"/>
      <c r="E592" s="96"/>
      <c r="F592" s="100"/>
      <c r="G592" s="94"/>
      <c r="H592" s="94"/>
      <c r="I592" s="100"/>
    </row>
    <row r="593" spans="1:9" s="87" customFormat="1" hidden="1" x14ac:dyDescent="0.3">
      <c r="A593" s="87" t="e">
        <f>#REF!</f>
        <v>#REF!</v>
      </c>
      <c r="B593" s="134"/>
      <c r="C593" s="87" t="s">
        <v>11</v>
      </c>
      <c r="D593" s="96"/>
      <c r="E593" s="96"/>
      <c r="F593" s="100"/>
      <c r="G593" s="94"/>
      <c r="H593" s="94"/>
      <c r="I593" s="100"/>
    </row>
    <row r="594" spans="1:9" s="87" customFormat="1" hidden="1" x14ac:dyDescent="0.3">
      <c r="A594" s="87" t="e">
        <f>#REF!</f>
        <v>#REF!</v>
      </c>
      <c r="B594" s="134"/>
      <c r="C594" s="87" t="s">
        <v>11</v>
      </c>
      <c r="D594" s="96"/>
      <c r="E594" s="96"/>
      <c r="F594" s="100"/>
      <c r="G594" s="94"/>
      <c r="H594" s="94"/>
      <c r="I594" s="100"/>
    </row>
    <row r="595" spans="1:9" s="87" customFormat="1" hidden="1" x14ac:dyDescent="0.3">
      <c r="A595" s="87" t="e">
        <f>#REF!</f>
        <v>#REF!</v>
      </c>
      <c r="B595" s="134"/>
      <c r="C595" s="87" t="s">
        <v>11</v>
      </c>
      <c r="D595" s="96"/>
      <c r="E595" s="96"/>
      <c r="F595" s="100"/>
      <c r="G595" s="94"/>
      <c r="H595" s="94"/>
      <c r="I595" s="100"/>
    </row>
    <row r="596" spans="1:9" s="87" customFormat="1" ht="14.25" hidden="1" customHeight="1" x14ac:dyDescent="0.3">
      <c r="A596" s="40"/>
      <c r="B596" s="37"/>
      <c r="C596" s="37"/>
      <c r="D596" s="37"/>
      <c r="E596" s="37"/>
      <c r="F596" s="39"/>
      <c r="G596" s="41"/>
      <c r="H596" s="41"/>
    </row>
    <row r="597" spans="1:9" s="21" customFormat="1" hidden="1" x14ac:dyDescent="0.3">
      <c r="A597" s="8" t="s">
        <v>24</v>
      </c>
      <c r="F597" s="39"/>
    </row>
    <row r="598" spans="1:9" s="21" customFormat="1" hidden="1" x14ac:dyDescent="0.3">
      <c r="A598" s="32" t="str">
        <f>"TUOS for "&amp;TNSP</f>
        <v>TUOS for TNSP</v>
      </c>
    </row>
    <row r="599" spans="1:9" s="21" customFormat="1" hidden="1" x14ac:dyDescent="0.3">
      <c r="A599" s="40" t="str">
        <f>Dist1</f>
        <v>Northern Territory</v>
      </c>
    </row>
    <row r="600" spans="1:9" s="21" customFormat="1" hidden="1" x14ac:dyDescent="0.3">
      <c r="A600" s="21" t="s">
        <v>98</v>
      </c>
      <c r="B600" s="120"/>
      <c r="C600" s="123"/>
      <c r="D600" s="128"/>
      <c r="E600" s="128"/>
      <c r="F600" s="132"/>
      <c r="G600" s="132"/>
      <c r="H600" s="132"/>
    </row>
    <row r="601" spans="1:9" s="21" customFormat="1" hidden="1" x14ac:dyDescent="0.3">
      <c r="A601" s="21" t="s">
        <v>99</v>
      </c>
      <c r="B601" s="120"/>
      <c r="C601" s="123"/>
      <c r="D601" s="130"/>
      <c r="E601" s="130"/>
      <c r="F601" s="133"/>
      <c r="G601" s="133"/>
      <c r="H601" s="133"/>
    </row>
    <row r="602" spans="1:9" s="21" customFormat="1" hidden="1" x14ac:dyDescent="0.3">
      <c r="A602" s="21" t="s">
        <v>100</v>
      </c>
      <c r="B602" s="120"/>
      <c r="C602" s="123"/>
      <c r="D602" s="130"/>
      <c r="E602" s="130"/>
      <c r="F602" s="133"/>
      <c r="G602" s="133"/>
      <c r="H602" s="133"/>
    </row>
    <row r="603" spans="1:9" s="21" customFormat="1" hidden="1" x14ac:dyDescent="0.3">
      <c r="A603" s="21" t="s">
        <v>26</v>
      </c>
      <c r="B603" s="120"/>
      <c r="C603" s="123"/>
      <c r="D603" s="130"/>
      <c r="E603" s="130"/>
      <c r="F603" s="133"/>
      <c r="G603" s="133"/>
      <c r="H603" s="133"/>
    </row>
    <row r="604" spans="1:9" s="21" customFormat="1" hidden="1" x14ac:dyDescent="0.3">
      <c r="A604" s="21" t="s">
        <v>82</v>
      </c>
      <c r="B604" s="120"/>
      <c r="C604" s="123"/>
      <c r="D604" s="130"/>
      <c r="E604" s="130"/>
      <c r="F604" s="131"/>
      <c r="G604" s="131"/>
      <c r="H604" s="131"/>
    </row>
    <row r="605" spans="1:9" s="21" customFormat="1" hidden="1" x14ac:dyDescent="0.3"/>
    <row r="606" spans="1:9" s="21" customFormat="1" hidden="1" x14ac:dyDescent="0.3">
      <c r="A606" s="21" t="s">
        <v>27</v>
      </c>
      <c r="D606" s="110">
        <f>'Input Global'!D$40</f>
        <v>0</v>
      </c>
      <c r="E606" s="110">
        <f>'Input Global'!E40</f>
        <v>0</v>
      </c>
      <c r="F606" s="110">
        <f>'Input Global'!F40</f>
        <v>0</v>
      </c>
      <c r="G606" s="110">
        <f>'Input Global'!G40</f>
        <v>0</v>
      </c>
      <c r="H606" s="110">
        <f>'Input Global'!H40</f>
        <v>0</v>
      </c>
    </row>
    <row r="607" spans="1:9" s="21" customFormat="1" hidden="1" x14ac:dyDescent="0.3">
      <c r="A607" s="21" t="s">
        <v>28</v>
      </c>
      <c r="D607" s="111">
        <f>'Input Global'!D$47</f>
        <v>0</v>
      </c>
      <c r="E607" s="111">
        <f>'Input Global'!E$47</f>
        <v>0</v>
      </c>
      <c r="F607" s="111">
        <f>'Input Global'!F$47</f>
        <v>0</v>
      </c>
      <c r="G607" s="111">
        <f>'Input Global'!G$47</f>
        <v>0</v>
      </c>
      <c r="H607" s="111">
        <f>'Input Global'!H$47</f>
        <v>0</v>
      </c>
    </row>
    <row r="608" spans="1:9" s="21" customFormat="1" hidden="1" x14ac:dyDescent="0.3"/>
    <row r="609" spans="1:9" s="21" customFormat="1" hidden="1" x14ac:dyDescent="0.3">
      <c r="A609" s="40" t="str">
        <f>Dist2</f>
        <v>blank</v>
      </c>
    </row>
    <row r="610" spans="1:9" s="21" customFormat="1" hidden="1" x14ac:dyDescent="0.3">
      <c r="A610" s="21" t="str">
        <f>A600</f>
        <v>Supply charge (TUOS)</v>
      </c>
      <c r="B610" s="120"/>
      <c r="C610" s="123"/>
      <c r="D610" s="128"/>
      <c r="E610" s="128"/>
      <c r="F610" s="132"/>
      <c r="G610" s="132"/>
      <c r="H610" s="132"/>
      <c r="I610" s="28"/>
    </row>
    <row r="611" spans="1:9" s="21" customFormat="1" hidden="1" x14ac:dyDescent="0.3">
      <c r="A611" s="21" t="str">
        <f>A601</f>
        <v>TUOS (1st step)</v>
      </c>
      <c r="B611" s="120"/>
      <c r="C611" s="123"/>
      <c r="D611" s="130"/>
      <c r="E611" s="130"/>
      <c r="F611" s="133"/>
      <c r="G611" s="133"/>
      <c r="H611" s="133"/>
    </row>
    <row r="612" spans="1:9" s="21" customFormat="1" hidden="1" x14ac:dyDescent="0.3">
      <c r="A612" s="21" t="str">
        <f>A602</f>
        <v>TUOS (2nd step)</v>
      </c>
      <c r="B612" s="120"/>
      <c r="C612" s="123"/>
      <c r="D612" s="130"/>
      <c r="E612" s="130"/>
      <c r="F612" s="133"/>
      <c r="G612" s="133"/>
      <c r="H612" s="133"/>
    </row>
    <row r="613" spans="1:9" s="21" customFormat="1" hidden="1" x14ac:dyDescent="0.3">
      <c r="A613" s="21" t="str">
        <f>A603</f>
        <v>TUOS (3rd step)</v>
      </c>
      <c r="B613" s="120"/>
      <c r="C613" s="123"/>
      <c r="D613" s="130"/>
      <c r="E613" s="130"/>
      <c r="F613" s="133"/>
      <c r="G613" s="133"/>
      <c r="H613" s="133"/>
    </row>
    <row r="614" spans="1:9" s="21" customFormat="1" hidden="1" x14ac:dyDescent="0.3">
      <c r="A614" s="21" t="str">
        <f>A604</f>
        <v>TUOS (4th step)</v>
      </c>
      <c r="B614" s="120"/>
      <c r="C614" s="123"/>
      <c r="D614" s="130"/>
      <c r="E614" s="130"/>
      <c r="F614" s="131"/>
      <c r="G614" s="131"/>
      <c r="H614" s="131"/>
    </row>
    <row r="615" spans="1:9" s="21" customFormat="1" hidden="1" x14ac:dyDescent="0.3"/>
    <row r="616" spans="1:9" s="21" customFormat="1" hidden="1" x14ac:dyDescent="0.3">
      <c r="A616" s="21" t="s">
        <v>27</v>
      </c>
      <c r="D616" s="110">
        <f t="shared" ref="D616:H617" si="60">D606</f>
        <v>0</v>
      </c>
      <c r="E616" s="110">
        <f t="shared" si="60"/>
        <v>0</v>
      </c>
      <c r="F616" s="110">
        <f t="shared" si="60"/>
        <v>0</v>
      </c>
      <c r="G616" s="110">
        <f t="shared" si="60"/>
        <v>0</v>
      </c>
      <c r="H616" s="110">
        <f t="shared" si="60"/>
        <v>0</v>
      </c>
    </row>
    <row r="617" spans="1:9" s="21" customFormat="1" hidden="1" x14ac:dyDescent="0.3">
      <c r="A617" s="21" t="s">
        <v>28</v>
      </c>
      <c r="D617" s="111">
        <f t="shared" si="60"/>
        <v>0</v>
      </c>
      <c r="E617" s="111">
        <f t="shared" si="60"/>
        <v>0</v>
      </c>
      <c r="F617" s="111">
        <f t="shared" si="60"/>
        <v>0</v>
      </c>
      <c r="G617" s="111">
        <f t="shared" si="60"/>
        <v>0</v>
      </c>
      <c r="H617" s="111">
        <f t="shared" si="60"/>
        <v>0</v>
      </c>
    </row>
    <row r="618" spans="1:9" s="21" customFormat="1" hidden="1" x14ac:dyDescent="0.3"/>
    <row r="619" spans="1:9" s="21" customFormat="1" hidden="1" x14ac:dyDescent="0.3">
      <c r="A619" s="40" t="str">
        <f>Dist3</f>
        <v>blank</v>
      </c>
    </row>
    <row r="620" spans="1:9" s="21" customFormat="1" hidden="1" x14ac:dyDescent="0.3">
      <c r="A620" s="21" t="str">
        <f>A610</f>
        <v>Supply charge (TUOS)</v>
      </c>
      <c r="B620" s="120"/>
      <c r="C620" s="123"/>
      <c r="D620" s="128"/>
      <c r="E620" s="128"/>
      <c r="F620" s="132"/>
      <c r="G620" s="132"/>
      <c r="H620" s="132"/>
    </row>
    <row r="621" spans="1:9" s="21" customFormat="1" hidden="1" x14ac:dyDescent="0.3">
      <c r="A621" s="21" t="str">
        <f>A611</f>
        <v>TUOS (1st step)</v>
      </c>
      <c r="B621" s="120"/>
      <c r="C621" s="123"/>
      <c r="D621" s="130"/>
      <c r="E621" s="130"/>
      <c r="F621" s="133"/>
      <c r="G621" s="133"/>
      <c r="H621" s="133"/>
    </row>
    <row r="622" spans="1:9" s="21" customFormat="1" hidden="1" x14ac:dyDescent="0.3">
      <c r="A622" s="21" t="str">
        <f>A612</f>
        <v>TUOS (2nd step)</v>
      </c>
      <c r="B622" s="120"/>
      <c r="C622" s="123"/>
      <c r="D622" s="130"/>
      <c r="E622" s="130"/>
      <c r="F622" s="133"/>
      <c r="G622" s="133"/>
      <c r="H622" s="133"/>
    </row>
    <row r="623" spans="1:9" s="21" customFormat="1" hidden="1" x14ac:dyDescent="0.3">
      <c r="A623" s="21" t="str">
        <f>A613</f>
        <v>TUOS (3rd step)</v>
      </c>
      <c r="B623" s="120"/>
      <c r="C623" s="123"/>
      <c r="D623" s="130"/>
      <c r="E623" s="130"/>
      <c r="F623" s="133"/>
      <c r="G623" s="133"/>
      <c r="H623" s="133"/>
    </row>
    <row r="624" spans="1:9" s="21" customFormat="1" hidden="1" x14ac:dyDescent="0.3">
      <c r="A624" s="21" t="str">
        <f>A614</f>
        <v>TUOS (4th step)</v>
      </c>
      <c r="B624" s="120"/>
      <c r="C624" s="123"/>
      <c r="D624" s="130"/>
      <c r="E624" s="130"/>
      <c r="F624" s="131"/>
      <c r="G624" s="131"/>
      <c r="H624" s="131"/>
    </row>
    <row r="625" spans="1:8" s="21" customFormat="1" hidden="1" x14ac:dyDescent="0.3"/>
    <row r="626" spans="1:8" s="21" customFormat="1" hidden="1" x14ac:dyDescent="0.3">
      <c r="A626" s="21" t="s">
        <v>27</v>
      </c>
      <c r="D626" s="110">
        <f t="shared" ref="D626:H627" si="61">D616</f>
        <v>0</v>
      </c>
      <c r="E626" s="110">
        <f t="shared" si="61"/>
        <v>0</v>
      </c>
      <c r="F626" s="110">
        <f t="shared" si="61"/>
        <v>0</v>
      </c>
      <c r="G626" s="110">
        <f t="shared" si="61"/>
        <v>0</v>
      </c>
      <c r="H626" s="110">
        <f t="shared" si="61"/>
        <v>0</v>
      </c>
    </row>
    <row r="627" spans="1:8" s="21" customFormat="1" hidden="1" x14ac:dyDescent="0.3">
      <c r="A627" s="21" t="s">
        <v>28</v>
      </c>
      <c r="D627" s="111">
        <f t="shared" si="61"/>
        <v>0</v>
      </c>
      <c r="E627" s="111">
        <f t="shared" si="61"/>
        <v>0</v>
      </c>
      <c r="F627" s="111">
        <f t="shared" si="61"/>
        <v>0</v>
      </c>
      <c r="G627" s="111">
        <f t="shared" si="61"/>
        <v>0</v>
      </c>
      <c r="H627" s="111">
        <f t="shared" si="61"/>
        <v>0</v>
      </c>
    </row>
    <row r="628" spans="1:8" s="21" customFormat="1" hidden="1" x14ac:dyDescent="0.3"/>
    <row r="629" spans="1:8" s="21" customFormat="1" hidden="1" x14ac:dyDescent="0.3">
      <c r="A629" s="40" t="str">
        <f>Dist4</f>
        <v>blank</v>
      </c>
    </row>
    <row r="630" spans="1:8" s="21" customFormat="1" hidden="1" x14ac:dyDescent="0.3">
      <c r="A630" s="21" t="str">
        <f>A620</f>
        <v>Supply charge (TUOS)</v>
      </c>
      <c r="B630" s="120"/>
      <c r="C630" s="123"/>
      <c r="D630" s="128"/>
      <c r="E630" s="128"/>
      <c r="F630" s="132"/>
      <c r="G630" s="132"/>
      <c r="H630" s="132"/>
    </row>
    <row r="631" spans="1:8" s="21" customFormat="1" hidden="1" x14ac:dyDescent="0.3">
      <c r="A631" s="21" t="str">
        <f>A621</f>
        <v>TUOS (1st step)</v>
      </c>
      <c r="B631" s="120"/>
      <c r="C631" s="123"/>
      <c r="D631" s="130"/>
      <c r="E631" s="130"/>
      <c r="F631" s="133"/>
      <c r="G631" s="133"/>
      <c r="H631" s="133"/>
    </row>
    <row r="632" spans="1:8" s="21" customFormat="1" hidden="1" x14ac:dyDescent="0.3">
      <c r="A632" s="21" t="str">
        <f>A622</f>
        <v>TUOS (2nd step)</v>
      </c>
      <c r="B632" s="120"/>
      <c r="C632" s="123"/>
      <c r="D632" s="130"/>
      <c r="E632" s="130"/>
      <c r="F632" s="133"/>
      <c r="G632" s="133"/>
      <c r="H632" s="133"/>
    </row>
    <row r="633" spans="1:8" s="21" customFormat="1" hidden="1" x14ac:dyDescent="0.3">
      <c r="A633" s="21" t="str">
        <f>A623</f>
        <v>TUOS (3rd step)</v>
      </c>
      <c r="B633" s="120"/>
      <c r="C633" s="123"/>
      <c r="D633" s="130"/>
      <c r="E633" s="130"/>
      <c r="F633" s="133"/>
      <c r="G633" s="133"/>
      <c r="H633" s="133"/>
    </row>
    <row r="634" spans="1:8" s="21" customFormat="1" hidden="1" x14ac:dyDescent="0.3">
      <c r="A634" s="21" t="str">
        <f>A624</f>
        <v>TUOS (4th step)</v>
      </c>
      <c r="B634" s="120"/>
      <c r="C634" s="123"/>
      <c r="D634" s="130"/>
      <c r="E634" s="130"/>
      <c r="F634" s="131"/>
      <c r="G634" s="131"/>
      <c r="H634" s="131"/>
    </row>
    <row r="635" spans="1:8" s="21" customFormat="1" hidden="1" x14ac:dyDescent="0.3"/>
    <row r="636" spans="1:8" s="21" customFormat="1" hidden="1" x14ac:dyDescent="0.3">
      <c r="A636" s="21" t="s">
        <v>27</v>
      </c>
      <c r="D636" s="110">
        <f t="shared" ref="D636:H637" si="62">D626</f>
        <v>0</v>
      </c>
      <c r="E636" s="110">
        <f t="shared" si="62"/>
        <v>0</v>
      </c>
      <c r="F636" s="110">
        <f t="shared" si="62"/>
        <v>0</v>
      </c>
      <c r="G636" s="110">
        <f t="shared" si="62"/>
        <v>0</v>
      </c>
      <c r="H636" s="110">
        <f t="shared" si="62"/>
        <v>0</v>
      </c>
    </row>
    <row r="637" spans="1:8" s="21" customFormat="1" hidden="1" x14ac:dyDescent="0.3">
      <c r="A637" s="21" t="s">
        <v>28</v>
      </c>
      <c r="D637" s="111">
        <f t="shared" si="62"/>
        <v>0</v>
      </c>
      <c r="E637" s="111">
        <f t="shared" si="62"/>
        <v>0</v>
      </c>
      <c r="F637" s="111">
        <f t="shared" si="62"/>
        <v>0</v>
      </c>
      <c r="G637" s="111">
        <f t="shared" si="62"/>
        <v>0</v>
      </c>
      <c r="H637" s="111">
        <f t="shared" si="62"/>
        <v>0</v>
      </c>
    </row>
    <row r="638" spans="1:8" s="21" customFormat="1" hidden="1" x14ac:dyDescent="0.3"/>
    <row r="639" spans="1:8" s="21" customFormat="1" hidden="1" x14ac:dyDescent="0.3">
      <c r="A639" s="40" t="str">
        <f>Dist5</f>
        <v>blank</v>
      </c>
    </row>
    <row r="640" spans="1:8" s="21" customFormat="1" hidden="1" x14ac:dyDescent="0.3">
      <c r="A640" s="21" t="str">
        <f>A630</f>
        <v>Supply charge (TUOS)</v>
      </c>
      <c r="B640" s="120"/>
      <c r="C640" s="123"/>
      <c r="D640" s="128"/>
      <c r="E640" s="128"/>
      <c r="F640" s="132"/>
      <c r="G640" s="132"/>
      <c r="H640" s="132"/>
    </row>
    <row r="641" spans="1:8" s="21" customFormat="1" hidden="1" x14ac:dyDescent="0.3">
      <c r="A641" s="21" t="str">
        <f>A631</f>
        <v>TUOS (1st step)</v>
      </c>
      <c r="B641" s="120"/>
      <c r="C641" s="123"/>
      <c r="D641" s="130"/>
      <c r="E641" s="130"/>
      <c r="F641" s="133"/>
      <c r="G641" s="133"/>
      <c r="H641" s="133"/>
    </row>
    <row r="642" spans="1:8" s="21" customFormat="1" hidden="1" x14ac:dyDescent="0.3">
      <c r="A642" s="21" t="str">
        <f>A632</f>
        <v>TUOS (2nd step)</v>
      </c>
      <c r="B642" s="120"/>
      <c r="C642" s="123"/>
      <c r="D642" s="130"/>
      <c r="E642" s="130"/>
      <c r="F642" s="133"/>
      <c r="G642" s="133"/>
      <c r="H642" s="133"/>
    </row>
    <row r="643" spans="1:8" s="21" customFormat="1" hidden="1" x14ac:dyDescent="0.3">
      <c r="A643" s="21" t="str">
        <f>A633</f>
        <v>TUOS (3rd step)</v>
      </c>
      <c r="B643" s="120"/>
      <c r="C643" s="123"/>
      <c r="D643" s="130"/>
      <c r="E643" s="130"/>
      <c r="F643" s="133"/>
      <c r="G643" s="133"/>
      <c r="H643" s="133"/>
    </row>
    <row r="644" spans="1:8" s="21" customFormat="1" hidden="1" x14ac:dyDescent="0.3">
      <c r="A644" s="21" t="str">
        <f>A634</f>
        <v>TUOS (4th step)</v>
      </c>
      <c r="B644" s="120"/>
      <c r="C644" s="123"/>
      <c r="D644" s="130"/>
      <c r="E644" s="130"/>
      <c r="F644" s="131"/>
      <c r="G644" s="131"/>
      <c r="H644" s="131"/>
    </row>
    <row r="645" spans="1:8" s="21" customFormat="1" hidden="1" x14ac:dyDescent="0.3"/>
    <row r="646" spans="1:8" s="21" customFormat="1" hidden="1" x14ac:dyDescent="0.3">
      <c r="A646" s="21" t="s">
        <v>27</v>
      </c>
      <c r="D646" s="110">
        <f t="shared" ref="D646:H647" si="63">D636</f>
        <v>0</v>
      </c>
      <c r="E646" s="110">
        <f t="shared" si="63"/>
        <v>0</v>
      </c>
      <c r="F646" s="110">
        <f t="shared" si="63"/>
        <v>0</v>
      </c>
      <c r="G646" s="110">
        <f t="shared" si="63"/>
        <v>0</v>
      </c>
      <c r="H646" s="110">
        <f t="shared" si="63"/>
        <v>0</v>
      </c>
    </row>
    <row r="647" spans="1:8" s="21" customFormat="1" hidden="1" x14ac:dyDescent="0.3">
      <c r="A647" s="21" t="s">
        <v>28</v>
      </c>
      <c r="D647" s="111">
        <f t="shared" si="63"/>
        <v>0</v>
      </c>
      <c r="E647" s="111">
        <f t="shared" si="63"/>
        <v>0</v>
      </c>
      <c r="F647" s="111">
        <f t="shared" si="63"/>
        <v>0</v>
      </c>
      <c r="G647" s="111">
        <f t="shared" si="63"/>
        <v>0</v>
      </c>
      <c r="H647" s="111">
        <f t="shared" si="63"/>
        <v>0</v>
      </c>
    </row>
    <row r="648" spans="1:8" s="21" customFormat="1" x14ac:dyDescent="0.3"/>
    <row r="649" spans="1:8" s="21" customFormat="1" x14ac:dyDescent="0.3">
      <c r="A649" s="32" t="s">
        <v>30</v>
      </c>
    </row>
    <row r="650" spans="1:8" s="21" customFormat="1" x14ac:dyDescent="0.3">
      <c r="A650" s="40" t="str">
        <f>Dist1</f>
        <v>Northern Territory</v>
      </c>
    </row>
    <row r="651" spans="1:8" s="21" customFormat="1" x14ac:dyDescent="0.3">
      <c r="A651" s="26" t="s">
        <v>66</v>
      </c>
      <c r="B651" s="120"/>
      <c r="C651" s="123"/>
      <c r="D651" s="128"/>
      <c r="E651" s="128"/>
      <c r="F651" s="128"/>
      <c r="G651" s="128"/>
      <c r="H651" s="129"/>
    </row>
    <row r="652" spans="1:8" s="21" customFormat="1" x14ac:dyDescent="0.3">
      <c r="A652" s="26" t="s">
        <v>71</v>
      </c>
      <c r="B652" s="120" t="s">
        <v>134</v>
      </c>
      <c r="C652" s="123" t="s">
        <v>136</v>
      </c>
      <c r="D652" s="140"/>
      <c r="E652" s="140">
        <f>(19.77/100*0.42)/1.1</f>
        <v>7.5485454545454536E-2</v>
      </c>
      <c r="F652" s="140">
        <f>(21.77/100*0.4)/1.1</f>
        <v>7.9163636363636367E-2</v>
      </c>
      <c r="G652" s="140">
        <f>(22.32/100*0.41)/1.1</f>
        <v>8.3192727272727265E-2</v>
      </c>
      <c r="H652" s="131">
        <f>G652*(1+inflation)*(1-H657)</f>
        <v>8.5997362090909066E-2</v>
      </c>
    </row>
    <row r="653" spans="1:8" s="21" customFormat="1" x14ac:dyDescent="0.3">
      <c r="A653" s="26" t="s">
        <v>72</v>
      </c>
      <c r="B653" s="120"/>
      <c r="C653" s="123"/>
      <c r="D653" s="130"/>
      <c r="E653" s="130"/>
      <c r="F653" s="130"/>
      <c r="G653" s="130"/>
      <c r="H653" s="131"/>
    </row>
    <row r="654" spans="1:8" s="21" customFormat="1" x14ac:dyDescent="0.3">
      <c r="A654" s="26" t="s">
        <v>81</v>
      </c>
      <c r="B654" s="120"/>
      <c r="C654" s="123"/>
      <c r="D654" s="130"/>
      <c r="E654" s="130"/>
      <c r="F654" s="130"/>
      <c r="G654" s="130"/>
      <c r="H654" s="131"/>
    </row>
    <row r="655" spans="1:8" s="21" customFormat="1" x14ac:dyDescent="0.3">
      <c r="A655" s="26" t="s">
        <v>89</v>
      </c>
      <c r="B655" s="120"/>
      <c r="C655" s="123"/>
      <c r="D655" s="130"/>
      <c r="E655" s="130"/>
      <c r="F655" s="130"/>
      <c r="G655" s="130"/>
      <c r="H655" s="131"/>
    </row>
    <row r="656" spans="1:8" s="21" customFormat="1" x14ac:dyDescent="0.3"/>
    <row r="657" spans="1:8" s="21" customFormat="1" x14ac:dyDescent="0.3">
      <c r="A657" s="21" t="s">
        <v>27</v>
      </c>
      <c r="E657" s="111">
        <f>'Input Global'!E41</f>
        <v>0</v>
      </c>
      <c r="F657" s="111">
        <f>'Input Global'!F41</f>
        <v>0</v>
      </c>
      <c r="G657" s="111">
        <f>'Input Global'!G41</f>
        <v>-8.5000000000000006E-3</v>
      </c>
      <c r="H657" s="111">
        <f>'Input Global'!H41</f>
        <v>-8.5000000000000006E-3</v>
      </c>
    </row>
    <row r="658" spans="1:8" s="21" customFormat="1" hidden="1" x14ac:dyDescent="0.3"/>
    <row r="659" spans="1:8" s="21" customFormat="1" hidden="1" x14ac:dyDescent="0.3">
      <c r="A659" s="40" t="str">
        <f>Dist2</f>
        <v>blank</v>
      </c>
    </row>
    <row r="660" spans="1:8" s="21" customFormat="1" hidden="1" x14ac:dyDescent="0.3">
      <c r="A660" s="26" t="str">
        <f>A651</f>
        <v>Supply charge (DUOS)</v>
      </c>
      <c r="B660" s="120"/>
      <c r="C660" s="123"/>
      <c r="D660" s="128"/>
      <c r="E660" s="128"/>
      <c r="F660" s="129"/>
      <c r="G660" s="129"/>
      <c r="H660" s="129"/>
    </row>
    <row r="661" spans="1:8" s="21" customFormat="1" hidden="1" x14ac:dyDescent="0.3">
      <c r="A661" s="26" t="str">
        <f>A652</f>
        <v>DUOS (1st step)</v>
      </c>
      <c r="B661" s="120"/>
      <c r="C661" s="123"/>
      <c r="D661" s="128"/>
      <c r="E661" s="130"/>
      <c r="F661" s="131"/>
      <c r="G661" s="131"/>
      <c r="H661" s="131"/>
    </row>
    <row r="662" spans="1:8" s="21" customFormat="1" hidden="1" x14ac:dyDescent="0.3">
      <c r="A662" s="26" t="str">
        <f>A653</f>
        <v>DUOS (2nd step)</v>
      </c>
      <c r="B662" s="120"/>
      <c r="C662" s="123"/>
      <c r="D662" s="128"/>
      <c r="E662" s="130"/>
      <c r="F662" s="131"/>
      <c r="G662" s="131"/>
      <c r="H662" s="131"/>
    </row>
    <row r="663" spans="1:8" s="21" customFormat="1" hidden="1" x14ac:dyDescent="0.3">
      <c r="A663" s="26" t="str">
        <f>A654</f>
        <v>DUOS (3rd step)</v>
      </c>
      <c r="B663" s="120"/>
      <c r="C663" s="123"/>
      <c r="D663" s="128"/>
      <c r="E663" s="130"/>
      <c r="F663" s="131"/>
      <c r="G663" s="131"/>
      <c r="H663" s="131"/>
    </row>
    <row r="664" spans="1:8" s="21" customFormat="1" hidden="1" x14ac:dyDescent="0.3">
      <c r="A664" s="26" t="str">
        <f>A655</f>
        <v>DUOS (4th step)</v>
      </c>
      <c r="B664" s="120"/>
      <c r="C664" s="123"/>
      <c r="D664" s="128"/>
      <c r="E664" s="130"/>
      <c r="F664" s="131"/>
      <c r="G664" s="131"/>
      <c r="H664" s="131"/>
    </row>
    <row r="665" spans="1:8" s="21" customFormat="1" hidden="1" x14ac:dyDescent="0.3"/>
    <row r="666" spans="1:8" s="21" customFormat="1" hidden="1" x14ac:dyDescent="0.3">
      <c r="A666" s="21" t="s">
        <v>27</v>
      </c>
      <c r="E666" s="111">
        <f>'Input Global'!E42</f>
        <v>0</v>
      </c>
      <c r="F666" s="111">
        <f>'Input Global'!F42</f>
        <v>0</v>
      </c>
      <c r="G666" s="111">
        <f>'Input Global'!G42</f>
        <v>0</v>
      </c>
      <c r="H666" s="111">
        <f>'Input Global'!H42</f>
        <v>0</v>
      </c>
    </row>
    <row r="667" spans="1:8" s="21" customFormat="1" hidden="1" x14ac:dyDescent="0.3"/>
    <row r="668" spans="1:8" s="21" customFormat="1" hidden="1" x14ac:dyDescent="0.3">
      <c r="A668" s="40" t="str">
        <f>Dist3</f>
        <v>blank</v>
      </c>
    </row>
    <row r="669" spans="1:8" s="21" customFormat="1" hidden="1" x14ac:dyDescent="0.3">
      <c r="A669" s="26" t="str">
        <f>A660</f>
        <v>Supply charge (DUOS)</v>
      </c>
      <c r="B669" s="120"/>
      <c r="C669" s="123"/>
      <c r="D669" s="128"/>
      <c r="E669" s="128"/>
      <c r="F669" s="129"/>
      <c r="G669" s="129"/>
      <c r="H669" s="129"/>
    </row>
    <row r="670" spans="1:8" s="21" customFormat="1" hidden="1" x14ac:dyDescent="0.3">
      <c r="A670" s="26" t="str">
        <f>A661</f>
        <v>DUOS (1st step)</v>
      </c>
      <c r="B670" s="120"/>
      <c r="C670" s="123"/>
      <c r="D670" s="128"/>
      <c r="E670" s="130"/>
      <c r="F670" s="131"/>
      <c r="G670" s="131"/>
      <c r="H670" s="131"/>
    </row>
    <row r="671" spans="1:8" s="21" customFormat="1" hidden="1" x14ac:dyDescent="0.3">
      <c r="A671" s="26" t="str">
        <f>A662</f>
        <v>DUOS (2nd step)</v>
      </c>
      <c r="B671" s="120"/>
      <c r="C671" s="123"/>
      <c r="D671" s="128"/>
      <c r="E671" s="130"/>
      <c r="F671" s="131"/>
      <c r="G671" s="131"/>
      <c r="H671" s="131"/>
    </row>
    <row r="672" spans="1:8" s="21" customFormat="1" hidden="1" x14ac:dyDescent="0.3">
      <c r="A672" s="26" t="str">
        <f>A663</f>
        <v>DUOS (3rd step)</v>
      </c>
      <c r="B672" s="120"/>
      <c r="C672" s="123"/>
      <c r="D672" s="128"/>
      <c r="E672" s="130"/>
      <c r="F672" s="131"/>
      <c r="G672" s="131"/>
      <c r="H672" s="131"/>
    </row>
    <row r="673" spans="1:8" s="21" customFormat="1" hidden="1" x14ac:dyDescent="0.3">
      <c r="A673" s="26" t="str">
        <f>A664</f>
        <v>DUOS (4th step)</v>
      </c>
      <c r="B673" s="120"/>
      <c r="C673" s="123"/>
      <c r="D673" s="128"/>
      <c r="E673" s="130"/>
      <c r="F673" s="131"/>
      <c r="G673" s="131"/>
      <c r="H673" s="131"/>
    </row>
    <row r="674" spans="1:8" s="21" customFormat="1" hidden="1" x14ac:dyDescent="0.3"/>
    <row r="675" spans="1:8" s="21" customFormat="1" hidden="1" x14ac:dyDescent="0.3">
      <c r="A675" s="21" t="s">
        <v>27</v>
      </c>
      <c r="E675" s="111">
        <f>'Input Global'!E43</f>
        <v>0</v>
      </c>
      <c r="F675" s="111">
        <f>'Input Global'!F43</f>
        <v>0</v>
      </c>
      <c r="G675" s="111">
        <f>'Input Global'!G43</f>
        <v>0</v>
      </c>
      <c r="H675" s="111">
        <f>'Input Global'!H43</f>
        <v>0</v>
      </c>
    </row>
    <row r="676" spans="1:8" s="21" customFormat="1" hidden="1" x14ac:dyDescent="0.3"/>
    <row r="677" spans="1:8" s="21" customFormat="1" hidden="1" x14ac:dyDescent="0.3">
      <c r="A677" s="40" t="str">
        <f>Dist4</f>
        <v>blank</v>
      </c>
    </row>
    <row r="678" spans="1:8" s="21" customFormat="1" hidden="1" x14ac:dyDescent="0.3">
      <c r="A678" s="26" t="str">
        <f>A669</f>
        <v>Supply charge (DUOS)</v>
      </c>
      <c r="B678" s="120"/>
      <c r="C678" s="123"/>
      <c r="D678" s="128"/>
      <c r="E678" s="128"/>
      <c r="F678" s="129"/>
      <c r="G678" s="129"/>
      <c r="H678" s="129"/>
    </row>
    <row r="679" spans="1:8" s="21" customFormat="1" hidden="1" x14ac:dyDescent="0.3">
      <c r="A679" s="26" t="str">
        <f>A670</f>
        <v>DUOS (1st step)</v>
      </c>
      <c r="B679" s="120"/>
      <c r="C679" s="123"/>
      <c r="D679" s="128"/>
      <c r="E679" s="130"/>
      <c r="F679" s="131"/>
      <c r="G679" s="131"/>
      <c r="H679" s="131"/>
    </row>
    <row r="680" spans="1:8" s="21" customFormat="1" hidden="1" x14ac:dyDescent="0.3">
      <c r="A680" s="26" t="str">
        <f>A671</f>
        <v>DUOS (2nd step)</v>
      </c>
      <c r="B680" s="120"/>
      <c r="C680" s="123"/>
      <c r="D680" s="128"/>
      <c r="E680" s="130"/>
      <c r="F680" s="131"/>
      <c r="G680" s="131"/>
      <c r="H680" s="131"/>
    </row>
    <row r="681" spans="1:8" s="21" customFormat="1" hidden="1" x14ac:dyDescent="0.3">
      <c r="A681" s="26" t="str">
        <f>A672</f>
        <v>DUOS (3rd step)</v>
      </c>
      <c r="B681" s="120"/>
      <c r="C681" s="123"/>
      <c r="D681" s="128"/>
      <c r="E681" s="130"/>
      <c r="F681" s="131"/>
      <c r="G681" s="131"/>
      <c r="H681" s="131"/>
    </row>
    <row r="682" spans="1:8" s="21" customFormat="1" hidden="1" x14ac:dyDescent="0.3">
      <c r="A682" s="26" t="str">
        <f>A673</f>
        <v>DUOS (4th step)</v>
      </c>
      <c r="B682" s="120"/>
      <c r="C682" s="123"/>
      <c r="D682" s="128"/>
      <c r="E682" s="130"/>
      <c r="F682" s="131"/>
      <c r="G682" s="131"/>
      <c r="H682" s="131"/>
    </row>
    <row r="683" spans="1:8" s="21" customFormat="1" hidden="1" x14ac:dyDescent="0.3"/>
    <row r="684" spans="1:8" s="21" customFormat="1" hidden="1" x14ac:dyDescent="0.3">
      <c r="A684" s="21" t="s">
        <v>27</v>
      </c>
      <c r="E684" s="111">
        <f>'Input Global'!E44</f>
        <v>0</v>
      </c>
      <c r="F684" s="111">
        <f>'Input Global'!F44</f>
        <v>0</v>
      </c>
      <c r="G684" s="111">
        <f>'Input Global'!G44</f>
        <v>0</v>
      </c>
      <c r="H684" s="111">
        <f>'Input Global'!H44</f>
        <v>0</v>
      </c>
    </row>
    <row r="685" spans="1:8" s="21" customFormat="1" hidden="1" x14ac:dyDescent="0.3"/>
    <row r="686" spans="1:8" s="21" customFormat="1" hidden="1" x14ac:dyDescent="0.3">
      <c r="A686" s="40" t="str">
        <f>Dist5</f>
        <v>blank</v>
      </c>
    </row>
    <row r="687" spans="1:8" s="21" customFormat="1" hidden="1" x14ac:dyDescent="0.3">
      <c r="A687" s="26" t="str">
        <f>A678</f>
        <v>Supply charge (DUOS)</v>
      </c>
      <c r="B687" s="120"/>
      <c r="C687" s="123"/>
      <c r="D687" s="128"/>
      <c r="E687" s="128"/>
      <c r="F687" s="129"/>
      <c r="G687" s="129"/>
      <c r="H687" s="129"/>
    </row>
    <row r="688" spans="1:8" s="21" customFormat="1" hidden="1" x14ac:dyDescent="0.3">
      <c r="A688" s="26" t="str">
        <f>A679</f>
        <v>DUOS (1st step)</v>
      </c>
      <c r="B688" s="120"/>
      <c r="C688" s="123"/>
      <c r="D688" s="128"/>
      <c r="E688" s="130"/>
      <c r="F688" s="131"/>
      <c r="G688" s="131"/>
      <c r="H688" s="131"/>
    </row>
    <row r="689" spans="1:8" s="21" customFormat="1" hidden="1" x14ac:dyDescent="0.3">
      <c r="A689" s="26" t="str">
        <f>A680</f>
        <v>DUOS (2nd step)</v>
      </c>
      <c r="B689" s="120"/>
      <c r="C689" s="123"/>
      <c r="D689" s="128"/>
      <c r="E689" s="130"/>
      <c r="F689" s="131"/>
      <c r="G689" s="131"/>
      <c r="H689" s="131"/>
    </row>
    <row r="690" spans="1:8" s="21" customFormat="1" hidden="1" x14ac:dyDescent="0.3">
      <c r="A690" s="26" t="str">
        <f>A681</f>
        <v>DUOS (3rd step)</v>
      </c>
      <c r="B690" s="120"/>
      <c r="C690" s="123"/>
      <c r="D690" s="128"/>
      <c r="E690" s="130"/>
      <c r="F690" s="131"/>
      <c r="G690" s="131"/>
      <c r="H690" s="131"/>
    </row>
    <row r="691" spans="1:8" s="21" customFormat="1" hidden="1" x14ac:dyDescent="0.3">
      <c r="A691" s="26" t="str">
        <f>A682</f>
        <v>DUOS (4th step)</v>
      </c>
      <c r="B691" s="120"/>
      <c r="C691" s="123"/>
      <c r="D691" s="128"/>
      <c r="E691" s="130"/>
      <c r="F691" s="131"/>
      <c r="G691" s="131"/>
      <c r="H691" s="131"/>
    </row>
    <row r="692" spans="1:8" s="21" customFormat="1" hidden="1" x14ac:dyDescent="0.3"/>
    <row r="693" spans="1:8" s="21" customFormat="1" hidden="1" x14ac:dyDescent="0.3">
      <c r="A693" s="21" t="s">
        <v>27</v>
      </c>
      <c r="E693" s="111">
        <f>'Input Global'!E45</f>
        <v>0</v>
      </c>
      <c r="F693" s="111">
        <f>'Input Global'!F45</f>
        <v>0</v>
      </c>
      <c r="G693" s="111">
        <f>'Input Global'!G45</f>
        <v>0</v>
      </c>
      <c r="H693" s="111">
        <f>'Input Global'!H45</f>
        <v>0</v>
      </c>
    </row>
    <row r="694" spans="1:8" s="21" customFormat="1" hidden="1" x14ac:dyDescent="0.3"/>
    <row r="695" spans="1:8" s="21" customFormat="1" hidden="1" x14ac:dyDescent="0.3">
      <c r="A695" s="32" t="s">
        <v>85</v>
      </c>
    </row>
    <row r="696" spans="1:8" s="21" customFormat="1" hidden="1" x14ac:dyDescent="0.3">
      <c r="A696" s="76" t="str">
        <f>Dist1</f>
        <v>Northern Territory</v>
      </c>
    </row>
    <row r="697" spans="1:8" s="21" customFormat="1" hidden="1" x14ac:dyDescent="0.3">
      <c r="A697" s="77" t="s">
        <v>86</v>
      </c>
      <c r="B697" s="120"/>
      <c r="C697" s="123"/>
      <c r="D697" s="128"/>
      <c r="E697" s="128"/>
      <c r="F697" s="128"/>
      <c r="G697" s="128"/>
      <c r="H697" s="128"/>
    </row>
    <row r="698" spans="1:8" s="21" customFormat="1" hidden="1" x14ac:dyDescent="0.3">
      <c r="A698" s="78" t="s">
        <v>87</v>
      </c>
      <c r="B698" s="120"/>
      <c r="C698" s="120"/>
      <c r="E698" s="128"/>
      <c r="F698" s="128"/>
      <c r="G698" s="128"/>
      <c r="H698" s="128"/>
    </row>
    <row r="699" spans="1:8" s="21" customFormat="1" hidden="1" x14ac:dyDescent="0.3">
      <c r="A699" s="79" t="str">
        <f>Dist2</f>
        <v>blank</v>
      </c>
    </row>
    <row r="700" spans="1:8" s="21" customFormat="1" hidden="1" x14ac:dyDescent="0.3">
      <c r="A700" s="78" t="str">
        <f>A697</f>
        <v>Cost</v>
      </c>
      <c r="B700" s="120"/>
      <c r="C700" s="123"/>
      <c r="D700" s="128"/>
      <c r="E700" s="128"/>
      <c r="F700" s="128"/>
      <c r="G700" s="128"/>
      <c r="H700" s="128"/>
    </row>
    <row r="701" spans="1:8" s="21" customFormat="1" hidden="1" x14ac:dyDescent="0.3">
      <c r="A701" s="78" t="str">
        <f>A698</f>
        <v>Metering X factor</v>
      </c>
      <c r="B701" s="120"/>
      <c r="C701" s="120"/>
      <c r="E701" s="128"/>
      <c r="F701" s="128"/>
      <c r="G701" s="128"/>
      <c r="H701" s="128"/>
    </row>
    <row r="702" spans="1:8" s="21" customFormat="1" hidden="1" x14ac:dyDescent="0.3">
      <c r="A702" s="79" t="str">
        <f>Dist3</f>
        <v>blank</v>
      </c>
    </row>
    <row r="703" spans="1:8" s="21" customFormat="1" hidden="1" x14ac:dyDescent="0.3">
      <c r="A703" s="78" t="str">
        <f>A700</f>
        <v>Cost</v>
      </c>
      <c r="B703" s="120"/>
      <c r="C703" s="123"/>
      <c r="D703" s="128"/>
      <c r="E703" s="128"/>
      <c r="F703" s="128"/>
      <c r="G703" s="128"/>
      <c r="H703" s="128"/>
    </row>
    <row r="704" spans="1:8" s="21" customFormat="1" hidden="1" x14ac:dyDescent="0.3">
      <c r="A704" s="78" t="str">
        <f>A701</f>
        <v>Metering X factor</v>
      </c>
      <c r="B704" s="120"/>
      <c r="C704" s="120"/>
      <c r="E704" s="128"/>
      <c r="F704" s="128"/>
      <c r="G704" s="128"/>
      <c r="H704" s="128"/>
    </row>
    <row r="705" spans="1:8" s="21" customFormat="1" hidden="1" x14ac:dyDescent="0.3">
      <c r="A705" s="79" t="str">
        <f>Dist4</f>
        <v>blank</v>
      </c>
    </row>
    <row r="706" spans="1:8" s="21" customFormat="1" hidden="1" x14ac:dyDescent="0.3">
      <c r="A706" s="78" t="str">
        <f>A703</f>
        <v>Cost</v>
      </c>
      <c r="B706" s="120"/>
      <c r="C706" s="123"/>
      <c r="D706" s="128"/>
      <c r="E706" s="128"/>
      <c r="F706" s="128"/>
      <c r="G706" s="128"/>
      <c r="H706" s="128"/>
    </row>
    <row r="707" spans="1:8" s="21" customFormat="1" hidden="1" x14ac:dyDescent="0.3">
      <c r="A707" s="78" t="str">
        <f>A704</f>
        <v>Metering X factor</v>
      </c>
      <c r="B707" s="120"/>
      <c r="C707" s="120"/>
      <c r="E707" s="128"/>
      <c r="F707" s="128"/>
      <c r="G707" s="128"/>
      <c r="H707" s="128"/>
    </row>
    <row r="708" spans="1:8" s="21" customFormat="1" hidden="1" x14ac:dyDescent="0.3">
      <c r="A708" s="79" t="str">
        <f>Dist5</f>
        <v>blank</v>
      </c>
    </row>
    <row r="709" spans="1:8" s="21" customFormat="1" hidden="1" x14ac:dyDescent="0.3">
      <c r="A709" s="78" t="str">
        <f>A706</f>
        <v>Cost</v>
      </c>
      <c r="B709" s="120"/>
      <c r="C709" s="123"/>
      <c r="D709" s="128"/>
      <c r="E709" s="128"/>
      <c r="F709" s="128"/>
      <c r="G709" s="128"/>
      <c r="H709" s="128"/>
    </row>
    <row r="710" spans="1:8" s="21" customFormat="1" hidden="1" x14ac:dyDescent="0.3">
      <c r="A710" s="78" t="str">
        <f>A707</f>
        <v>Metering X factor</v>
      </c>
      <c r="B710" s="120"/>
      <c r="C710" s="120"/>
      <c r="E710" s="128"/>
      <c r="F710" s="128"/>
      <c r="G710" s="128"/>
      <c r="H710" s="128"/>
    </row>
    <row r="711" spans="1:8" s="21" customFormat="1" hidden="1" x14ac:dyDescent="0.3">
      <c r="A711" s="32"/>
    </row>
    <row r="712" spans="1:8" s="21" customFormat="1" hidden="1" x14ac:dyDescent="0.3">
      <c r="A712" s="32" t="s">
        <v>70</v>
      </c>
    </row>
    <row r="713" spans="1:8" s="21" customFormat="1" hidden="1" x14ac:dyDescent="0.3">
      <c r="A713" s="40" t="str">
        <f>Dist1</f>
        <v>Northern Territory</v>
      </c>
    </row>
    <row r="714" spans="1:8" s="21" customFormat="1" hidden="1" x14ac:dyDescent="0.3">
      <c r="A714" s="21" t="s">
        <v>110</v>
      </c>
      <c r="B714" s="120"/>
      <c r="C714" s="123"/>
      <c r="D714" s="127"/>
      <c r="E714" s="128"/>
      <c r="F714" s="129"/>
      <c r="G714" s="129"/>
      <c r="H714" s="129"/>
    </row>
    <row r="715" spans="1:8" s="21" customFormat="1" hidden="1" x14ac:dyDescent="0.3">
      <c r="A715" s="21" t="s">
        <v>34</v>
      </c>
      <c r="B715" s="120"/>
      <c r="C715" s="123"/>
      <c r="D715" s="127"/>
      <c r="E715" s="130"/>
      <c r="F715" s="131"/>
      <c r="G715" s="131"/>
      <c r="H715" s="131"/>
    </row>
    <row r="716" spans="1:8" s="21" customFormat="1" hidden="1" x14ac:dyDescent="0.3">
      <c r="A716" s="21" t="s">
        <v>35</v>
      </c>
      <c r="B716" s="120"/>
      <c r="C716" s="123"/>
      <c r="D716" s="127"/>
      <c r="E716" s="130"/>
      <c r="F716" s="131"/>
      <c r="G716" s="131"/>
      <c r="H716" s="131"/>
    </row>
    <row r="717" spans="1:8" s="21" customFormat="1" hidden="1" x14ac:dyDescent="0.3">
      <c r="A717" s="21" t="s">
        <v>36</v>
      </c>
      <c r="B717" s="120"/>
      <c r="C717" s="123"/>
      <c r="D717" s="127"/>
      <c r="E717" s="130"/>
      <c r="F717" s="131"/>
      <c r="G717" s="131"/>
      <c r="H717" s="131"/>
    </row>
    <row r="718" spans="1:8" s="21" customFormat="1" hidden="1" x14ac:dyDescent="0.3">
      <c r="A718" s="21" t="s">
        <v>84</v>
      </c>
      <c r="B718" s="120"/>
      <c r="C718" s="123"/>
      <c r="D718" s="127"/>
      <c r="E718" s="130"/>
      <c r="F718" s="131"/>
      <c r="G718" s="131"/>
      <c r="H718" s="131"/>
    </row>
    <row r="719" spans="1:8" s="21" customFormat="1" hidden="1" x14ac:dyDescent="0.3">
      <c r="A719" s="40" t="str">
        <f>Dist2</f>
        <v>blank</v>
      </c>
      <c r="G719" s="43"/>
      <c r="H719" s="43"/>
    </row>
    <row r="720" spans="1:8" s="21" customFormat="1" hidden="1" x14ac:dyDescent="0.3">
      <c r="A720" s="21" t="str">
        <f>A714</f>
        <v>Fixed</v>
      </c>
      <c r="B720" s="120"/>
      <c r="C720" s="123"/>
      <c r="D720" s="127"/>
      <c r="E720" s="128"/>
      <c r="F720" s="129"/>
      <c r="G720" s="129"/>
      <c r="H720" s="129"/>
    </row>
    <row r="721" spans="1:8" s="21" customFormat="1" hidden="1" x14ac:dyDescent="0.3">
      <c r="A721" s="21" t="str">
        <f>A715</f>
        <v>1st Step</v>
      </c>
      <c r="B721" s="120"/>
      <c r="C721" s="123"/>
      <c r="D721" s="127"/>
      <c r="E721" s="130"/>
      <c r="F721" s="131"/>
      <c r="G721" s="131"/>
      <c r="H721" s="131"/>
    </row>
    <row r="722" spans="1:8" s="21" customFormat="1" hidden="1" x14ac:dyDescent="0.3">
      <c r="A722" s="21" t="str">
        <f>A716</f>
        <v>2nd Step</v>
      </c>
      <c r="B722" s="120"/>
      <c r="C722" s="123"/>
      <c r="D722" s="127"/>
      <c r="E722" s="130"/>
      <c r="F722" s="131"/>
      <c r="G722" s="131"/>
      <c r="H722" s="131"/>
    </row>
    <row r="723" spans="1:8" s="21" customFormat="1" hidden="1" x14ac:dyDescent="0.3">
      <c r="A723" s="21" t="str">
        <f>A717</f>
        <v>3rd Step</v>
      </c>
      <c r="B723" s="120"/>
      <c r="C723" s="123"/>
      <c r="D723" s="127"/>
      <c r="E723" s="130"/>
      <c r="F723" s="131"/>
      <c r="G723" s="131"/>
      <c r="H723" s="131"/>
    </row>
    <row r="724" spans="1:8" s="21" customFormat="1" hidden="1" x14ac:dyDescent="0.3">
      <c r="A724" s="21" t="str">
        <f>A718</f>
        <v>4th Step</v>
      </c>
      <c r="B724" s="120"/>
      <c r="C724" s="123"/>
      <c r="D724" s="127"/>
      <c r="E724" s="130"/>
      <c r="F724" s="131"/>
      <c r="G724" s="131"/>
      <c r="H724" s="131"/>
    </row>
    <row r="725" spans="1:8" s="21" customFormat="1" hidden="1" x14ac:dyDescent="0.3">
      <c r="A725" s="40" t="str">
        <f>Dist3</f>
        <v>blank</v>
      </c>
      <c r="D725" s="35"/>
      <c r="E725" s="35"/>
      <c r="F725" s="35"/>
      <c r="G725" s="43"/>
      <c r="H725" s="43"/>
    </row>
    <row r="726" spans="1:8" s="21" customFormat="1" hidden="1" x14ac:dyDescent="0.3">
      <c r="A726" s="21" t="str">
        <f>A720</f>
        <v>Fixed</v>
      </c>
      <c r="B726" s="120"/>
      <c r="C726" s="123"/>
      <c r="D726" s="127"/>
      <c r="E726" s="128"/>
      <c r="F726" s="129"/>
      <c r="G726" s="129"/>
      <c r="H726" s="129"/>
    </row>
    <row r="727" spans="1:8" s="21" customFormat="1" hidden="1" x14ac:dyDescent="0.3">
      <c r="A727" s="21" t="str">
        <f>A721</f>
        <v>1st Step</v>
      </c>
      <c r="B727" s="120"/>
      <c r="C727" s="123"/>
      <c r="D727" s="127"/>
      <c r="E727" s="130"/>
      <c r="F727" s="131"/>
      <c r="G727" s="131"/>
      <c r="H727" s="131"/>
    </row>
    <row r="728" spans="1:8" s="21" customFormat="1" hidden="1" x14ac:dyDescent="0.3">
      <c r="A728" s="21" t="str">
        <f>A722</f>
        <v>2nd Step</v>
      </c>
      <c r="B728" s="120"/>
      <c r="C728" s="123"/>
      <c r="D728" s="127"/>
      <c r="E728" s="130"/>
      <c r="F728" s="131"/>
      <c r="G728" s="131"/>
      <c r="H728" s="131"/>
    </row>
    <row r="729" spans="1:8" s="21" customFormat="1" hidden="1" x14ac:dyDescent="0.3">
      <c r="A729" s="21" t="str">
        <f>A723</f>
        <v>3rd Step</v>
      </c>
      <c r="B729" s="120"/>
      <c r="C729" s="123"/>
      <c r="D729" s="127"/>
      <c r="E729" s="130"/>
      <c r="F729" s="131"/>
      <c r="G729" s="131"/>
      <c r="H729" s="131"/>
    </row>
    <row r="730" spans="1:8" s="21" customFormat="1" hidden="1" x14ac:dyDescent="0.3">
      <c r="A730" s="21" t="str">
        <f>A724</f>
        <v>4th Step</v>
      </c>
      <c r="B730" s="120"/>
      <c r="C730" s="123"/>
      <c r="D730" s="127"/>
      <c r="E730" s="130"/>
      <c r="F730" s="131"/>
      <c r="G730" s="131"/>
      <c r="H730" s="131"/>
    </row>
    <row r="731" spans="1:8" s="21" customFormat="1" hidden="1" x14ac:dyDescent="0.3">
      <c r="A731" s="40" t="str">
        <f>Dist4</f>
        <v>blank</v>
      </c>
      <c r="D731" s="35"/>
      <c r="E731" s="35"/>
      <c r="F731" s="35"/>
      <c r="G731" s="43"/>
      <c r="H731" s="43"/>
    </row>
    <row r="732" spans="1:8" s="21" customFormat="1" hidden="1" x14ac:dyDescent="0.3">
      <c r="A732" s="21" t="str">
        <f>A726</f>
        <v>Fixed</v>
      </c>
      <c r="B732" s="120"/>
      <c r="C732" s="123"/>
      <c r="D732" s="127"/>
      <c r="E732" s="128"/>
      <c r="F732" s="129"/>
      <c r="G732" s="129"/>
      <c r="H732" s="129"/>
    </row>
    <row r="733" spans="1:8" s="21" customFormat="1" hidden="1" x14ac:dyDescent="0.3">
      <c r="A733" s="21" t="str">
        <f>A727</f>
        <v>1st Step</v>
      </c>
      <c r="B733" s="120"/>
      <c r="C733" s="123"/>
      <c r="D733" s="127"/>
      <c r="E733" s="130"/>
      <c r="F733" s="131"/>
      <c r="G733" s="131"/>
      <c r="H733" s="131"/>
    </row>
    <row r="734" spans="1:8" s="21" customFormat="1" hidden="1" x14ac:dyDescent="0.3">
      <c r="A734" s="21" t="str">
        <f>A728</f>
        <v>2nd Step</v>
      </c>
      <c r="B734" s="120"/>
      <c r="C734" s="123"/>
      <c r="D734" s="127"/>
      <c r="E734" s="130"/>
      <c r="F734" s="131"/>
      <c r="G734" s="131"/>
      <c r="H734" s="131"/>
    </row>
    <row r="735" spans="1:8" s="21" customFormat="1" hidden="1" x14ac:dyDescent="0.3">
      <c r="A735" s="21" t="str">
        <f>A729</f>
        <v>3rd Step</v>
      </c>
      <c r="B735" s="120"/>
      <c r="C735" s="123"/>
      <c r="D735" s="127"/>
      <c r="E735" s="130"/>
      <c r="F735" s="131"/>
      <c r="G735" s="131"/>
      <c r="H735" s="131"/>
    </row>
    <row r="736" spans="1:8" s="21" customFormat="1" hidden="1" x14ac:dyDescent="0.3">
      <c r="A736" s="21" t="str">
        <f>A730</f>
        <v>4th Step</v>
      </c>
      <c r="B736" s="120"/>
      <c r="C736" s="123"/>
      <c r="D736" s="127"/>
      <c r="E736" s="130"/>
      <c r="F736" s="131"/>
      <c r="G736" s="131"/>
      <c r="H736" s="131"/>
    </row>
    <row r="737" spans="1:8" s="21" customFormat="1" hidden="1" x14ac:dyDescent="0.3">
      <c r="A737" s="40" t="str">
        <f>Dist5</f>
        <v>blank</v>
      </c>
      <c r="D737" s="35"/>
      <c r="E737" s="35"/>
      <c r="F737" s="35"/>
      <c r="G737" s="43"/>
      <c r="H737" s="43"/>
    </row>
    <row r="738" spans="1:8" s="21" customFormat="1" hidden="1" x14ac:dyDescent="0.3">
      <c r="A738" s="21" t="str">
        <f>A732</f>
        <v>Fixed</v>
      </c>
      <c r="B738" s="120"/>
      <c r="C738" s="123"/>
      <c r="D738" s="127"/>
      <c r="E738" s="128"/>
      <c r="F738" s="129"/>
      <c r="G738" s="129"/>
      <c r="H738" s="129"/>
    </row>
    <row r="739" spans="1:8" s="21" customFormat="1" hidden="1" x14ac:dyDescent="0.3">
      <c r="A739" s="21" t="str">
        <f>A733</f>
        <v>1st Step</v>
      </c>
      <c r="B739" s="120"/>
      <c r="C739" s="123"/>
      <c r="D739" s="127"/>
      <c r="E739" s="130"/>
      <c r="F739" s="131"/>
      <c r="G739" s="131"/>
      <c r="H739" s="131"/>
    </row>
    <row r="740" spans="1:8" s="21" customFormat="1" hidden="1" x14ac:dyDescent="0.3">
      <c r="A740" s="21" t="str">
        <f>A734</f>
        <v>2nd Step</v>
      </c>
      <c r="B740" s="120"/>
      <c r="C740" s="123"/>
      <c r="D740" s="127"/>
      <c r="E740" s="130"/>
      <c r="F740" s="131"/>
      <c r="G740" s="131"/>
      <c r="H740" s="131"/>
    </row>
    <row r="741" spans="1:8" s="21" customFormat="1" hidden="1" x14ac:dyDescent="0.3">
      <c r="A741" s="21" t="str">
        <f>A735</f>
        <v>3rd Step</v>
      </c>
      <c r="B741" s="120"/>
      <c r="C741" s="123"/>
      <c r="D741" s="127"/>
      <c r="E741" s="130"/>
      <c r="F741" s="131"/>
      <c r="G741" s="131"/>
      <c r="H741" s="131"/>
    </row>
    <row r="742" spans="1:8" s="21" customFormat="1" hidden="1" x14ac:dyDescent="0.3">
      <c r="A742" s="21" t="str">
        <f>A736</f>
        <v>4th Step</v>
      </c>
      <c r="B742" s="120"/>
      <c r="C742" s="123"/>
      <c r="D742" s="127"/>
      <c r="E742" s="130"/>
      <c r="F742" s="131"/>
      <c r="G742" s="131"/>
      <c r="H742" s="131"/>
    </row>
    <row r="743" spans="1:8" s="21" customFormat="1" x14ac:dyDescent="0.3">
      <c r="A743" s="44"/>
      <c r="C743" s="26"/>
      <c r="D743" s="26"/>
      <c r="E743" s="26"/>
      <c r="F743" s="26"/>
    </row>
    <row r="744" spans="1:8" s="21" customFormat="1" x14ac:dyDescent="0.3">
      <c r="A744" s="32" t="s">
        <v>33</v>
      </c>
    </row>
    <row r="745" spans="1:8" s="21" customFormat="1" x14ac:dyDescent="0.3">
      <c r="A745" s="40" t="str">
        <f>Dist1</f>
        <v>Northern Territory</v>
      </c>
    </row>
    <row r="746" spans="1:8" s="21" customFormat="1" x14ac:dyDescent="0.3">
      <c r="A746" s="21" t="s">
        <v>19</v>
      </c>
      <c r="B746" s="120"/>
      <c r="C746" s="123" t="s">
        <v>73</v>
      </c>
      <c r="D746" s="126">
        <v>8904</v>
      </c>
      <c r="E746" s="126">
        <v>8904</v>
      </c>
      <c r="F746" s="126">
        <v>8904</v>
      </c>
      <c r="G746" s="126">
        <v>8904</v>
      </c>
      <c r="H746" s="126">
        <v>8904</v>
      </c>
    </row>
    <row r="747" spans="1:8" s="21" customFormat="1" x14ac:dyDescent="0.3">
      <c r="A747" s="21" t="s">
        <v>20</v>
      </c>
      <c r="B747" s="120"/>
      <c r="C747" s="123"/>
      <c r="D747" s="126"/>
      <c r="E747" s="125"/>
      <c r="F747" s="125"/>
      <c r="G747" s="125"/>
      <c r="H747" s="125"/>
    </row>
    <row r="748" spans="1:8" s="21" customFormat="1" x14ac:dyDescent="0.3">
      <c r="A748" s="21" t="s">
        <v>21</v>
      </c>
      <c r="B748" s="120"/>
      <c r="C748" s="123"/>
      <c r="D748" s="126"/>
      <c r="E748" s="125"/>
      <c r="F748" s="125"/>
      <c r="G748" s="125"/>
      <c r="H748" s="125"/>
    </row>
    <row r="749" spans="1:8" s="21" customFormat="1" x14ac:dyDescent="0.3">
      <c r="A749" s="21" t="s">
        <v>83</v>
      </c>
      <c r="B749" s="120"/>
      <c r="C749" s="123"/>
      <c r="D749" s="126"/>
      <c r="E749" s="125"/>
      <c r="F749" s="125"/>
      <c r="G749" s="125"/>
      <c r="H749" s="125"/>
    </row>
    <row r="750" spans="1:8" s="21" customFormat="1" x14ac:dyDescent="0.3">
      <c r="A750" s="21" t="s">
        <v>55</v>
      </c>
      <c r="C750" s="123"/>
      <c r="D750" s="66">
        <f>SUM(D746:D749)</f>
        <v>8904</v>
      </c>
      <c r="E750" s="66">
        <f t="shared" ref="E750:H750" si="64">SUM(E746:E749)</f>
        <v>8904</v>
      </c>
      <c r="F750" s="66">
        <f t="shared" si="64"/>
        <v>8904</v>
      </c>
      <c r="G750" s="66">
        <f t="shared" si="64"/>
        <v>8904</v>
      </c>
      <c r="H750" s="66">
        <f t="shared" si="64"/>
        <v>8904</v>
      </c>
    </row>
    <row r="751" spans="1:8" s="21" customFormat="1" hidden="1" x14ac:dyDescent="0.3"/>
    <row r="752" spans="1:8" s="21" customFormat="1" hidden="1" x14ac:dyDescent="0.3">
      <c r="A752" s="40" t="str">
        <f>Dist2</f>
        <v>blank</v>
      </c>
    </row>
    <row r="753" spans="1:8" s="21" customFormat="1" hidden="1" x14ac:dyDescent="0.3">
      <c r="A753" s="21" t="str">
        <f>A746</f>
        <v>Block 1</v>
      </c>
      <c r="B753" s="120"/>
      <c r="C753" s="123"/>
      <c r="D753" s="124"/>
      <c r="E753" s="125"/>
      <c r="F753" s="125"/>
      <c r="G753" s="125"/>
      <c r="H753" s="125"/>
    </row>
    <row r="754" spans="1:8" s="21" customFormat="1" hidden="1" x14ac:dyDescent="0.3">
      <c r="A754" s="21" t="str">
        <f t="shared" ref="A754:A757" si="65">A747</f>
        <v>Block 2</v>
      </c>
      <c r="B754" s="120"/>
      <c r="C754" s="123"/>
      <c r="D754" s="124"/>
      <c r="E754" s="125"/>
      <c r="F754" s="125"/>
      <c r="G754" s="125"/>
      <c r="H754" s="125"/>
    </row>
    <row r="755" spans="1:8" s="21" customFormat="1" hidden="1" x14ac:dyDescent="0.3">
      <c r="A755" s="21" t="str">
        <f t="shared" si="65"/>
        <v>Block 3</v>
      </c>
      <c r="B755" s="120"/>
      <c r="C755" s="123"/>
      <c r="D755" s="124"/>
      <c r="E755" s="125"/>
      <c r="F755" s="125"/>
      <c r="G755" s="125"/>
      <c r="H755" s="125"/>
    </row>
    <row r="756" spans="1:8" s="21" customFormat="1" hidden="1" x14ac:dyDescent="0.3">
      <c r="A756" s="21" t="str">
        <f t="shared" si="65"/>
        <v>Block 4</v>
      </c>
      <c r="B756" s="120"/>
      <c r="C756" s="123"/>
      <c r="D756" s="124"/>
      <c r="E756" s="125"/>
      <c r="F756" s="125"/>
      <c r="G756" s="125"/>
      <c r="H756" s="125"/>
    </row>
    <row r="757" spans="1:8" s="21" customFormat="1" hidden="1" x14ac:dyDescent="0.3">
      <c r="A757" s="21" t="str">
        <f t="shared" si="65"/>
        <v>Total</v>
      </c>
      <c r="C757" s="120" t="s">
        <v>73</v>
      </c>
      <c r="D757" s="66">
        <f>SUM(D753:D756)</f>
        <v>0</v>
      </c>
      <c r="E757" s="66">
        <f t="shared" ref="E757" si="66">SUM(E753:E756)</f>
        <v>0</v>
      </c>
      <c r="F757" s="66">
        <f t="shared" ref="F757" si="67">SUM(F753:F756)</f>
        <v>0</v>
      </c>
      <c r="G757" s="66">
        <f t="shared" ref="G757" si="68">SUM(G753:G756)</f>
        <v>0</v>
      </c>
      <c r="H757" s="66">
        <f t="shared" ref="H757" si="69">SUM(H753:H756)</f>
        <v>0</v>
      </c>
    </row>
    <row r="758" spans="1:8" s="21" customFormat="1" hidden="1" x14ac:dyDescent="0.3"/>
    <row r="759" spans="1:8" s="21" customFormat="1" hidden="1" x14ac:dyDescent="0.3">
      <c r="A759" s="40" t="str">
        <f>Dist3</f>
        <v>blank</v>
      </c>
    </row>
    <row r="760" spans="1:8" s="21" customFormat="1" hidden="1" x14ac:dyDescent="0.3">
      <c r="A760" s="21" t="str">
        <f>A753</f>
        <v>Block 1</v>
      </c>
      <c r="B760" s="120"/>
      <c r="C760" s="123"/>
      <c r="D760" s="124"/>
      <c r="E760" s="125"/>
      <c r="F760" s="125"/>
      <c r="G760" s="125"/>
      <c r="H760" s="125"/>
    </row>
    <row r="761" spans="1:8" s="21" customFormat="1" hidden="1" x14ac:dyDescent="0.3">
      <c r="A761" s="21" t="str">
        <f t="shared" ref="A761:A764" si="70">A754</f>
        <v>Block 2</v>
      </c>
      <c r="B761" s="120"/>
      <c r="C761" s="123"/>
      <c r="D761" s="124"/>
      <c r="E761" s="125"/>
      <c r="F761" s="125"/>
      <c r="G761" s="125"/>
      <c r="H761" s="125"/>
    </row>
    <row r="762" spans="1:8" s="21" customFormat="1" hidden="1" x14ac:dyDescent="0.3">
      <c r="A762" s="21" t="str">
        <f t="shared" si="70"/>
        <v>Block 3</v>
      </c>
      <c r="B762" s="120"/>
      <c r="C762" s="123"/>
      <c r="D762" s="124"/>
      <c r="E762" s="125"/>
      <c r="F762" s="125"/>
      <c r="G762" s="125"/>
      <c r="H762" s="125"/>
    </row>
    <row r="763" spans="1:8" s="21" customFormat="1" hidden="1" x14ac:dyDescent="0.3">
      <c r="A763" s="21" t="str">
        <f t="shared" si="70"/>
        <v>Block 4</v>
      </c>
      <c r="B763" s="120"/>
      <c r="C763" s="123"/>
      <c r="D763" s="126"/>
      <c r="E763" s="125"/>
      <c r="F763" s="125"/>
      <c r="G763" s="125"/>
      <c r="H763" s="125"/>
    </row>
    <row r="764" spans="1:8" s="21" customFormat="1" hidden="1" x14ac:dyDescent="0.3">
      <c r="A764" s="21" t="str">
        <f t="shared" si="70"/>
        <v>Total</v>
      </c>
      <c r="C764" s="120" t="s">
        <v>73</v>
      </c>
      <c r="D764" s="66">
        <f>SUM(D760:D763)</f>
        <v>0</v>
      </c>
      <c r="E764" s="66">
        <f t="shared" ref="E764" si="71">SUM(E760:E763)</f>
        <v>0</v>
      </c>
      <c r="F764" s="66">
        <f t="shared" ref="F764" si="72">SUM(F760:F763)</f>
        <v>0</v>
      </c>
      <c r="G764" s="66">
        <f t="shared" ref="G764" si="73">SUM(G760:G763)</f>
        <v>0</v>
      </c>
      <c r="H764" s="66">
        <f t="shared" ref="H764" si="74">SUM(H760:H763)</f>
        <v>0</v>
      </c>
    </row>
    <row r="765" spans="1:8" s="21" customFormat="1" hidden="1" x14ac:dyDescent="0.3"/>
    <row r="766" spans="1:8" s="21" customFormat="1" hidden="1" x14ac:dyDescent="0.3">
      <c r="A766" s="40" t="str">
        <f>Dist4</f>
        <v>blank</v>
      </c>
    </row>
    <row r="767" spans="1:8" s="21" customFormat="1" hidden="1" x14ac:dyDescent="0.3">
      <c r="A767" s="21" t="str">
        <f>A760</f>
        <v>Block 1</v>
      </c>
      <c r="B767" s="120"/>
      <c r="C767" s="123"/>
      <c r="D767" s="124"/>
      <c r="E767" s="125"/>
      <c r="F767" s="125"/>
      <c r="G767" s="125"/>
      <c r="H767" s="125"/>
    </row>
    <row r="768" spans="1:8" s="21" customFormat="1" hidden="1" x14ac:dyDescent="0.3">
      <c r="A768" s="21" t="str">
        <f t="shared" ref="A768:A771" si="75">A761</f>
        <v>Block 2</v>
      </c>
      <c r="B768" s="120"/>
      <c r="C768" s="123"/>
      <c r="D768" s="124"/>
      <c r="E768" s="125"/>
      <c r="F768" s="125"/>
      <c r="G768" s="125"/>
      <c r="H768" s="125"/>
    </row>
    <row r="769" spans="1:8" s="21" customFormat="1" hidden="1" x14ac:dyDescent="0.3">
      <c r="A769" s="21" t="str">
        <f t="shared" si="75"/>
        <v>Block 3</v>
      </c>
      <c r="B769" s="120"/>
      <c r="C769" s="123"/>
      <c r="D769" s="124"/>
      <c r="E769" s="125"/>
      <c r="F769" s="125"/>
      <c r="G769" s="125"/>
      <c r="H769" s="125"/>
    </row>
    <row r="770" spans="1:8" s="21" customFormat="1" hidden="1" x14ac:dyDescent="0.3">
      <c r="A770" s="21" t="str">
        <f t="shared" si="75"/>
        <v>Block 4</v>
      </c>
      <c r="B770" s="120"/>
      <c r="C770" s="123"/>
      <c r="D770" s="126"/>
      <c r="E770" s="125"/>
      <c r="F770" s="125"/>
      <c r="G770" s="125"/>
      <c r="H770" s="125"/>
    </row>
    <row r="771" spans="1:8" s="21" customFormat="1" hidden="1" x14ac:dyDescent="0.3">
      <c r="A771" s="21" t="str">
        <f t="shared" si="75"/>
        <v>Total</v>
      </c>
      <c r="C771" s="120" t="s">
        <v>73</v>
      </c>
      <c r="D771" s="66">
        <f>SUM(D767:D770)</f>
        <v>0</v>
      </c>
      <c r="E771" s="66">
        <f t="shared" ref="E771" si="76">SUM(E767:E770)</f>
        <v>0</v>
      </c>
      <c r="F771" s="66">
        <f t="shared" ref="F771" si="77">SUM(F767:F770)</f>
        <v>0</v>
      </c>
      <c r="G771" s="66">
        <f t="shared" ref="G771" si="78">SUM(G767:G770)</f>
        <v>0</v>
      </c>
      <c r="H771" s="66">
        <f t="shared" ref="H771" si="79">SUM(H767:H770)</f>
        <v>0</v>
      </c>
    </row>
    <row r="772" spans="1:8" s="21" customFormat="1" hidden="1" x14ac:dyDescent="0.3"/>
    <row r="773" spans="1:8" s="21" customFormat="1" hidden="1" x14ac:dyDescent="0.3">
      <c r="A773" s="40" t="str">
        <f>Dist5</f>
        <v>blank</v>
      </c>
    </row>
    <row r="774" spans="1:8" s="21" customFormat="1" hidden="1" x14ac:dyDescent="0.3">
      <c r="A774" s="21" t="str">
        <f>A767</f>
        <v>Block 1</v>
      </c>
      <c r="B774" s="120"/>
      <c r="C774" s="123"/>
      <c r="D774" s="124"/>
      <c r="E774" s="125"/>
      <c r="F774" s="125"/>
      <c r="G774" s="125"/>
      <c r="H774" s="125"/>
    </row>
    <row r="775" spans="1:8" s="21" customFormat="1" hidden="1" x14ac:dyDescent="0.3">
      <c r="A775" s="21" t="str">
        <f t="shared" ref="A775:A778" si="80">A768</f>
        <v>Block 2</v>
      </c>
      <c r="B775" s="120"/>
      <c r="C775" s="123"/>
      <c r="D775" s="124"/>
      <c r="E775" s="125"/>
      <c r="F775" s="125"/>
      <c r="G775" s="125"/>
      <c r="H775" s="125"/>
    </row>
    <row r="776" spans="1:8" s="21" customFormat="1" hidden="1" x14ac:dyDescent="0.3">
      <c r="A776" s="21" t="str">
        <f t="shared" si="80"/>
        <v>Block 3</v>
      </c>
      <c r="B776" s="120"/>
      <c r="C776" s="123"/>
      <c r="D776" s="124"/>
      <c r="E776" s="125"/>
      <c r="F776" s="125"/>
      <c r="G776" s="125"/>
      <c r="H776" s="125"/>
    </row>
    <row r="777" spans="1:8" s="21" customFormat="1" hidden="1" x14ac:dyDescent="0.3">
      <c r="A777" s="21" t="str">
        <f t="shared" si="80"/>
        <v>Block 4</v>
      </c>
      <c r="B777" s="120"/>
      <c r="C777" s="123"/>
      <c r="D777" s="126"/>
      <c r="E777" s="125"/>
      <c r="F777" s="125"/>
      <c r="G777" s="125"/>
      <c r="H777" s="125"/>
    </row>
    <row r="778" spans="1:8" s="21" customFormat="1" hidden="1" x14ac:dyDescent="0.3">
      <c r="A778" s="21" t="str">
        <f t="shared" si="80"/>
        <v>Total</v>
      </c>
      <c r="C778" s="120" t="s">
        <v>73</v>
      </c>
      <c r="D778" s="66">
        <f>SUM(D774:D777)</f>
        <v>0</v>
      </c>
      <c r="E778" s="66">
        <f t="shared" ref="E778" si="81">SUM(E774:E777)</f>
        <v>0</v>
      </c>
      <c r="F778" s="66">
        <f t="shared" ref="F778" si="82">SUM(F774:F777)</f>
        <v>0</v>
      </c>
      <c r="G778" s="66">
        <f t="shared" ref="G778" si="83">SUM(G774:G777)</f>
        <v>0</v>
      </c>
      <c r="H778" s="66">
        <f t="shared" ref="H778" si="84">SUM(H774:H777)</f>
        <v>0</v>
      </c>
    </row>
    <row r="780" spans="1:8" x14ac:dyDescent="0.3">
      <c r="A780" s="8" t="str">
        <f ca="1">LEFT(B2,3) &amp; " Jurisdiction Data"</f>
        <v>Inp Jurisdiction Data</v>
      </c>
      <c r="B780" s="87"/>
      <c r="C780" s="87"/>
      <c r="D780" s="87"/>
      <c r="E780" s="87"/>
      <c r="F780" s="87"/>
      <c r="G780" s="87"/>
      <c r="H780" s="87"/>
    </row>
    <row r="781" spans="1:8" x14ac:dyDescent="0.3">
      <c r="A781" s="40" t="str">
        <f>Dist1</f>
        <v>Northern Territory</v>
      </c>
      <c r="B781" s="87"/>
      <c r="C781" s="87"/>
      <c r="D781" s="87"/>
      <c r="E781" s="87"/>
      <c r="F781" s="143" t="s">
        <v>138</v>
      </c>
      <c r="G781" s="144">
        <v>1.4240868104278226</v>
      </c>
      <c r="H781" s="134">
        <v>0.3</v>
      </c>
    </row>
    <row r="782" spans="1:8" x14ac:dyDescent="0.3">
      <c r="A782" s="71" t="s">
        <v>64</v>
      </c>
      <c r="B782" s="120" t="s">
        <v>134</v>
      </c>
      <c r="C782" s="121" t="s">
        <v>11</v>
      </c>
      <c r="D782" s="121"/>
      <c r="E782" s="121">
        <f>(19.77*0.016)/1.1</f>
        <v>0.28756363636363635</v>
      </c>
      <c r="F782" s="121">
        <f>(21.77*0.016)/1.1</f>
        <v>0.31665454545454547</v>
      </c>
      <c r="G782" s="141">
        <f>F782*G781</f>
        <v>0.45094356164383564</v>
      </c>
      <c r="H782" s="141">
        <f t="shared" ref="H782" si="85">G782*(1+inflation)</f>
        <v>0.46221715068493152</v>
      </c>
    </row>
    <row r="783" spans="1:8" x14ac:dyDescent="0.3">
      <c r="A783" s="71" t="s">
        <v>101</v>
      </c>
      <c r="B783" s="120" t="s">
        <v>134</v>
      </c>
      <c r="C783" s="121" t="s">
        <v>11</v>
      </c>
      <c r="D783" s="121"/>
      <c r="E783" s="121">
        <f>(19.77*0.77)/1.1</f>
        <v>13.838999999999999</v>
      </c>
      <c r="F783" s="121">
        <f>(21.77*0.72)/1.1</f>
        <v>14.249454545454544</v>
      </c>
      <c r="G783" s="94">
        <f>F783*G781</f>
        <v>20.292460273972601</v>
      </c>
      <c r="H783" s="94"/>
    </row>
    <row r="784" spans="1:8" x14ac:dyDescent="0.3">
      <c r="A784" s="71" t="s">
        <v>102</v>
      </c>
      <c r="B784" s="120"/>
      <c r="C784" s="121" t="s">
        <v>11</v>
      </c>
      <c r="D784" s="121"/>
      <c r="E784" s="121"/>
      <c r="F784" s="121"/>
      <c r="G784" s="46"/>
      <c r="H784" s="47"/>
    </row>
    <row r="785" spans="1:8" x14ac:dyDescent="0.3">
      <c r="A785" s="71" t="s">
        <v>120</v>
      </c>
      <c r="B785" s="120"/>
      <c r="C785" s="121" t="s">
        <v>11</v>
      </c>
      <c r="D785" s="121"/>
      <c r="E785" s="121"/>
      <c r="F785" s="121"/>
      <c r="G785" s="46"/>
      <c r="H785" s="47"/>
    </row>
    <row r="786" spans="1:8" x14ac:dyDescent="0.3">
      <c r="A786" s="71" t="s">
        <v>103</v>
      </c>
      <c r="B786" s="120" t="s">
        <v>134</v>
      </c>
      <c r="C786" s="121" t="s">
        <v>11</v>
      </c>
      <c r="D786" s="121"/>
      <c r="E786" s="121"/>
      <c r="F786" s="121">
        <f>(21.77*0.067)/1.1</f>
        <v>1.325990909090909</v>
      </c>
      <c r="G786" s="94">
        <f>F786*G781</f>
        <v>1.8883261643835614</v>
      </c>
      <c r="H786" s="47"/>
    </row>
    <row r="787" spans="1:8" x14ac:dyDescent="0.3">
      <c r="A787" s="71" t="s">
        <v>16</v>
      </c>
      <c r="B787" s="120"/>
      <c r="C787" s="121" t="s">
        <v>11</v>
      </c>
      <c r="D787" s="121"/>
      <c r="E787" s="121"/>
      <c r="F787" s="121"/>
      <c r="G787" s="113"/>
      <c r="H787" s="114"/>
    </row>
    <row r="788" spans="1:8" x14ac:dyDescent="0.3">
      <c r="A788" s="71" t="s">
        <v>69</v>
      </c>
      <c r="B788" s="120"/>
      <c r="C788" s="121" t="s">
        <v>11</v>
      </c>
      <c r="D788" s="121"/>
      <c r="E788" s="121"/>
      <c r="F788" s="121"/>
      <c r="G788" s="113"/>
      <c r="H788" s="114"/>
    </row>
    <row r="789" spans="1:8" x14ac:dyDescent="0.3">
      <c r="A789" s="48" t="str">
        <f>Scheme1</f>
        <v>blank</v>
      </c>
      <c r="B789" s="120"/>
      <c r="C789" s="121" t="s">
        <v>11</v>
      </c>
      <c r="D789" s="121"/>
      <c r="E789" s="121"/>
      <c r="F789" s="121"/>
      <c r="G789" s="121"/>
      <c r="H789" s="121"/>
    </row>
    <row r="790" spans="1:8" x14ac:dyDescent="0.3">
      <c r="A790" s="44" t="str">
        <f>Scheme2</f>
        <v>blank</v>
      </c>
      <c r="B790" s="120"/>
      <c r="C790" s="121" t="s">
        <v>11</v>
      </c>
      <c r="D790" s="121"/>
      <c r="E790" s="121"/>
      <c r="F790" s="121"/>
      <c r="G790" s="46"/>
      <c r="H790" s="47"/>
    </row>
    <row r="791" spans="1:8" hidden="1" x14ac:dyDescent="0.3">
      <c r="A791" s="87"/>
      <c r="B791" s="87"/>
      <c r="C791" s="87"/>
      <c r="D791" s="31"/>
      <c r="E791" s="47"/>
      <c r="F791" s="47"/>
      <c r="G791" s="47"/>
      <c r="H791" s="47"/>
    </row>
    <row r="792" spans="1:8" hidden="1" x14ac:dyDescent="0.3">
      <c r="A792" s="40" t="str">
        <f>Dist2</f>
        <v>blank</v>
      </c>
      <c r="B792" s="87"/>
      <c r="C792" s="87"/>
      <c r="D792" s="87"/>
      <c r="E792" s="87"/>
      <c r="F792" s="87"/>
      <c r="G792" s="87"/>
      <c r="H792" s="87"/>
    </row>
    <row r="793" spans="1:8" hidden="1" x14ac:dyDescent="0.3">
      <c r="A793" s="26" t="str">
        <f>A782</f>
        <v>Retail operating Cost</v>
      </c>
      <c r="B793" s="120"/>
      <c r="C793" s="121"/>
      <c r="D793" s="121"/>
      <c r="E793" s="121"/>
      <c r="F793" s="121"/>
      <c r="G793" s="91">
        <f t="shared" ref="G793" si="86">F793*(1+inflation)</f>
        <v>0</v>
      </c>
      <c r="H793" s="91">
        <f t="shared" ref="H793" si="87">G793*(1+inflation)</f>
        <v>0</v>
      </c>
    </row>
    <row r="794" spans="1:8" hidden="1" x14ac:dyDescent="0.3">
      <c r="A794" s="26" t="str">
        <f t="shared" ref="A794:A801" si="88">A783</f>
        <v>WEC</v>
      </c>
      <c r="B794" s="120"/>
      <c r="C794" s="121"/>
      <c r="D794" s="121"/>
      <c r="E794" s="121"/>
      <c r="F794" s="121"/>
      <c r="G794" s="115"/>
      <c r="H794" s="116"/>
    </row>
    <row r="795" spans="1:8" hidden="1" x14ac:dyDescent="0.3">
      <c r="A795" s="26" t="str">
        <f t="shared" si="88"/>
        <v xml:space="preserve">Losses </v>
      </c>
      <c r="B795" s="120"/>
      <c r="C795" s="121"/>
      <c r="D795" s="121"/>
      <c r="E795" s="121"/>
      <c r="F795" s="121"/>
      <c r="G795" s="113"/>
      <c r="H795" s="114"/>
    </row>
    <row r="796" spans="1:8" hidden="1" x14ac:dyDescent="0.3">
      <c r="A796" s="26" t="str">
        <f t="shared" si="88"/>
        <v>Market Fees</v>
      </c>
      <c r="B796" s="120"/>
      <c r="C796" s="121"/>
      <c r="D796" s="121"/>
      <c r="E796" s="121"/>
      <c r="F796" s="121"/>
      <c r="G796" s="113"/>
      <c r="H796" s="114"/>
    </row>
    <row r="797" spans="1:8" hidden="1" x14ac:dyDescent="0.3">
      <c r="A797" s="26" t="str">
        <f t="shared" si="88"/>
        <v>Carbon</v>
      </c>
      <c r="B797" s="120"/>
      <c r="C797" s="121"/>
      <c r="D797" s="122"/>
      <c r="E797" s="122"/>
      <c r="F797" s="121"/>
      <c r="G797" s="113"/>
      <c r="H797" s="114"/>
    </row>
    <row r="798" spans="1:8" hidden="1" x14ac:dyDescent="0.3">
      <c r="A798" s="26" t="str">
        <f t="shared" si="88"/>
        <v>LRET</v>
      </c>
      <c r="B798" s="120"/>
      <c r="C798" s="121"/>
      <c r="D798" s="121"/>
      <c r="E798" s="121"/>
      <c r="F798" s="121"/>
      <c r="G798" s="113"/>
      <c r="H798" s="114"/>
    </row>
    <row r="799" spans="1:8" hidden="1" x14ac:dyDescent="0.3">
      <c r="A799" s="26" t="str">
        <f t="shared" si="88"/>
        <v>Small scale renewable energy scheme</v>
      </c>
      <c r="B799" s="120"/>
      <c r="C799" s="121"/>
      <c r="D799" s="121"/>
      <c r="E799" s="121"/>
      <c r="F799" s="121"/>
      <c r="G799" s="113"/>
      <c r="H799" s="114"/>
    </row>
    <row r="800" spans="1:8" hidden="1" x14ac:dyDescent="0.3">
      <c r="A800" s="26" t="str">
        <f t="shared" si="88"/>
        <v>blank</v>
      </c>
      <c r="B800" s="120"/>
      <c r="C800" s="121"/>
      <c r="D800" s="121"/>
      <c r="E800" s="121"/>
      <c r="F800" s="121"/>
      <c r="G800" s="121"/>
      <c r="H800" s="121"/>
    </row>
    <row r="801" spans="1:8" hidden="1" x14ac:dyDescent="0.3">
      <c r="A801" s="26" t="str">
        <f t="shared" si="88"/>
        <v>blank</v>
      </c>
      <c r="B801" s="120"/>
      <c r="C801" s="121"/>
      <c r="D801" s="121"/>
      <c r="E801" s="121"/>
      <c r="F801" s="121"/>
      <c r="G801" s="46"/>
      <c r="H801" s="47"/>
    </row>
    <row r="802" spans="1:8" hidden="1" x14ac:dyDescent="0.3">
      <c r="A802" s="44"/>
      <c r="B802" s="87"/>
      <c r="C802" s="47"/>
      <c r="D802" s="47"/>
      <c r="E802" s="47"/>
      <c r="F802" s="47"/>
      <c r="G802" s="47"/>
      <c r="H802" s="47"/>
    </row>
    <row r="803" spans="1:8" hidden="1" x14ac:dyDescent="0.3">
      <c r="A803" s="40" t="str">
        <f>Dist3</f>
        <v>blank</v>
      </c>
      <c r="B803" s="87"/>
      <c r="C803" s="47"/>
      <c r="D803" s="47"/>
      <c r="E803" s="47"/>
      <c r="F803" s="47"/>
      <c r="G803" s="47"/>
      <c r="H803" s="47"/>
    </row>
    <row r="804" spans="1:8" hidden="1" x14ac:dyDescent="0.3">
      <c r="A804" s="26" t="str">
        <f>A793</f>
        <v>Retail operating Cost</v>
      </c>
      <c r="B804" s="120"/>
      <c r="C804" s="121"/>
      <c r="D804" s="121"/>
      <c r="E804" s="121"/>
      <c r="F804" s="121"/>
      <c r="G804" s="91">
        <f t="shared" ref="G804" si="89">F804*(1+inflation)</f>
        <v>0</v>
      </c>
      <c r="H804" s="91">
        <f t="shared" ref="H804" si="90">G804*(1+inflation)</f>
        <v>0</v>
      </c>
    </row>
    <row r="805" spans="1:8" hidden="1" x14ac:dyDescent="0.3">
      <c r="A805" s="26" t="str">
        <f t="shared" ref="A805:A812" si="91">A794</f>
        <v>WEC</v>
      </c>
      <c r="B805" s="120"/>
      <c r="C805" s="121"/>
      <c r="D805" s="121"/>
      <c r="E805" s="121"/>
      <c r="F805" s="121"/>
      <c r="G805" s="115"/>
      <c r="H805" s="116"/>
    </row>
    <row r="806" spans="1:8" hidden="1" x14ac:dyDescent="0.3">
      <c r="A806" s="26" t="str">
        <f t="shared" si="91"/>
        <v xml:space="preserve">Losses </v>
      </c>
      <c r="B806" s="120"/>
      <c r="C806" s="121"/>
      <c r="D806" s="121"/>
      <c r="E806" s="121"/>
      <c r="F806" s="121"/>
      <c r="G806" s="113"/>
      <c r="H806" s="114"/>
    </row>
    <row r="807" spans="1:8" hidden="1" x14ac:dyDescent="0.3">
      <c r="A807" s="26" t="str">
        <f t="shared" si="91"/>
        <v>Market Fees</v>
      </c>
      <c r="B807" s="120"/>
      <c r="C807" s="121"/>
      <c r="D807" s="121"/>
      <c r="E807" s="121"/>
      <c r="F807" s="121"/>
      <c r="G807" s="113"/>
      <c r="H807" s="114"/>
    </row>
    <row r="808" spans="1:8" hidden="1" x14ac:dyDescent="0.3">
      <c r="A808" s="26" t="str">
        <f t="shared" si="91"/>
        <v>Carbon</v>
      </c>
      <c r="B808" s="120"/>
      <c r="C808" s="121"/>
      <c r="D808" s="122"/>
      <c r="E808" s="122"/>
      <c r="F808" s="121"/>
      <c r="G808" s="113"/>
      <c r="H808" s="114"/>
    </row>
    <row r="809" spans="1:8" hidden="1" x14ac:dyDescent="0.3">
      <c r="A809" s="26" t="str">
        <f t="shared" si="91"/>
        <v>LRET</v>
      </c>
      <c r="B809" s="120"/>
      <c r="C809" s="121"/>
      <c r="D809" s="121"/>
      <c r="E809" s="121"/>
      <c r="F809" s="121"/>
      <c r="G809" s="113"/>
      <c r="H809" s="114"/>
    </row>
    <row r="810" spans="1:8" hidden="1" x14ac:dyDescent="0.3">
      <c r="A810" s="26" t="str">
        <f t="shared" si="91"/>
        <v>Small scale renewable energy scheme</v>
      </c>
      <c r="B810" s="120"/>
      <c r="C810" s="121"/>
      <c r="D810" s="121"/>
      <c r="E810" s="121"/>
      <c r="F810" s="121"/>
      <c r="G810" s="113"/>
      <c r="H810" s="114"/>
    </row>
    <row r="811" spans="1:8" hidden="1" x14ac:dyDescent="0.3">
      <c r="A811" s="26" t="str">
        <f t="shared" si="91"/>
        <v>blank</v>
      </c>
      <c r="B811" s="120"/>
      <c r="C811" s="121"/>
      <c r="D811" s="121"/>
      <c r="E811" s="121"/>
      <c r="F811" s="121"/>
      <c r="G811" s="121"/>
      <c r="H811" s="121"/>
    </row>
    <row r="812" spans="1:8" hidden="1" x14ac:dyDescent="0.3">
      <c r="A812" s="26" t="str">
        <f t="shared" si="91"/>
        <v>blank</v>
      </c>
      <c r="B812" s="120"/>
      <c r="C812" s="121"/>
      <c r="D812" s="121"/>
      <c r="E812" s="121"/>
      <c r="F812" s="121"/>
      <c r="G812" s="46"/>
      <c r="H812" s="47"/>
    </row>
    <row r="813" spans="1:8" hidden="1" x14ac:dyDescent="0.3">
      <c r="B813" s="47"/>
      <c r="C813" s="47"/>
      <c r="D813" s="47"/>
      <c r="E813" s="47"/>
      <c r="F813" s="47"/>
      <c r="G813" s="47"/>
      <c r="H813" s="47"/>
    </row>
    <row r="814" spans="1:8" hidden="1" x14ac:dyDescent="0.3">
      <c r="A814" s="40" t="str">
        <f>Dist4</f>
        <v>blank</v>
      </c>
      <c r="B814" s="87"/>
      <c r="C814" s="87"/>
      <c r="D814" s="87"/>
      <c r="E814" s="87"/>
      <c r="F814" s="87"/>
      <c r="G814" s="87"/>
      <c r="H814" s="87"/>
    </row>
    <row r="815" spans="1:8" hidden="1" x14ac:dyDescent="0.3">
      <c r="A815" s="26" t="str">
        <f>A804</f>
        <v>Retail operating Cost</v>
      </c>
      <c r="B815" s="120"/>
      <c r="C815" s="121"/>
      <c r="D815" s="121"/>
      <c r="E815" s="121"/>
      <c r="F815" s="121"/>
      <c r="G815" s="91">
        <f t="shared" ref="G815" si="92">F815*(1+inflation)</f>
        <v>0</v>
      </c>
      <c r="H815" s="91">
        <f t="shared" ref="H815" si="93">G815*(1+inflation)</f>
        <v>0</v>
      </c>
    </row>
    <row r="816" spans="1:8" hidden="1" x14ac:dyDescent="0.3">
      <c r="A816" s="26" t="str">
        <f t="shared" ref="A816:A823" si="94">A805</f>
        <v>WEC</v>
      </c>
      <c r="B816" s="120"/>
      <c r="C816" s="121"/>
      <c r="D816" s="121"/>
      <c r="E816" s="121"/>
      <c r="F816" s="121"/>
      <c r="G816" s="115"/>
      <c r="H816" s="116"/>
    </row>
    <row r="817" spans="1:8" hidden="1" x14ac:dyDescent="0.3">
      <c r="A817" s="26" t="str">
        <f t="shared" si="94"/>
        <v xml:space="preserve">Losses </v>
      </c>
      <c r="B817" s="120"/>
      <c r="C817" s="121"/>
      <c r="D817" s="121"/>
      <c r="E817" s="121"/>
      <c r="F817" s="121"/>
      <c r="G817" s="113"/>
      <c r="H817" s="114"/>
    </row>
    <row r="818" spans="1:8" hidden="1" x14ac:dyDescent="0.3">
      <c r="A818" s="26" t="str">
        <f t="shared" si="94"/>
        <v>Market Fees</v>
      </c>
      <c r="B818" s="120"/>
      <c r="C818" s="121"/>
      <c r="D818" s="121"/>
      <c r="E818" s="121"/>
      <c r="F818" s="121"/>
      <c r="G818" s="113"/>
      <c r="H818" s="114"/>
    </row>
    <row r="819" spans="1:8" hidden="1" x14ac:dyDescent="0.3">
      <c r="A819" s="26" t="str">
        <f t="shared" si="94"/>
        <v>Carbon</v>
      </c>
      <c r="B819" s="120"/>
      <c r="C819" s="121"/>
      <c r="D819" s="122"/>
      <c r="E819" s="122"/>
      <c r="F819" s="121"/>
      <c r="G819" s="113"/>
      <c r="H819" s="114"/>
    </row>
    <row r="820" spans="1:8" hidden="1" x14ac:dyDescent="0.3">
      <c r="A820" s="26" t="str">
        <f t="shared" si="94"/>
        <v>LRET</v>
      </c>
      <c r="B820" s="120"/>
      <c r="C820" s="121"/>
      <c r="D820" s="121"/>
      <c r="E820" s="121"/>
      <c r="F820" s="121"/>
      <c r="G820" s="113"/>
      <c r="H820" s="114"/>
    </row>
    <row r="821" spans="1:8" hidden="1" x14ac:dyDescent="0.3">
      <c r="A821" s="26" t="str">
        <f t="shared" si="94"/>
        <v>Small scale renewable energy scheme</v>
      </c>
      <c r="B821" s="120"/>
      <c r="C821" s="121"/>
      <c r="D821" s="121"/>
      <c r="E821" s="121"/>
      <c r="F821" s="121"/>
      <c r="G821" s="113"/>
      <c r="H821" s="114"/>
    </row>
    <row r="822" spans="1:8" hidden="1" x14ac:dyDescent="0.3">
      <c r="A822" s="26" t="str">
        <f t="shared" si="94"/>
        <v>blank</v>
      </c>
      <c r="B822" s="120"/>
      <c r="C822" s="121"/>
      <c r="D822" s="121"/>
      <c r="E822" s="121"/>
      <c r="F822" s="121"/>
      <c r="G822" s="121"/>
      <c r="H822" s="121"/>
    </row>
    <row r="823" spans="1:8" hidden="1" x14ac:dyDescent="0.3">
      <c r="A823" s="26" t="str">
        <f t="shared" si="94"/>
        <v>blank</v>
      </c>
      <c r="B823" s="120"/>
      <c r="C823" s="121"/>
      <c r="D823" s="121"/>
      <c r="E823" s="121"/>
      <c r="F823" s="121"/>
      <c r="G823" s="46"/>
      <c r="H823" s="47"/>
    </row>
    <row r="824" spans="1:8" ht="13.5" hidden="1" x14ac:dyDescent="0.25">
      <c r="G824" s="50"/>
      <c r="H824" s="50"/>
    </row>
    <row r="825" spans="1:8" hidden="1" x14ac:dyDescent="0.3">
      <c r="A825" s="40" t="str">
        <f>Dist5</f>
        <v>blank</v>
      </c>
      <c r="B825" s="87"/>
      <c r="C825" s="87"/>
      <c r="D825" s="87"/>
      <c r="E825" s="87"/>
      <c r="F825" s="87"/>
      <c r="G825" s="87"/>
      <c r="H825" s="87"/>
    </row>
    <row r="826" spans="1:8" hidden="1" x14ac:dyDescent="0.3">
      <c r="A826" s="26" t="str">
        <f>A815</f>
        <v>Retail operating Cost</v>
      </c>
      <c r="B826" s="120"/>
      <c r="C826" s="121"/>
      <c r="D826" s="121"/>
      <c r="E826" s="121"/>
      <c r="F826" s="121"/>
      <c r="G826" s="91">
        <f t="shared" ref="G826" si="95">F826*(1+inflation)</f>
        <v>0</v>
      </c>
      <c r="H826" s="91">
        <f t="shared" ref="H826" si="96">G826*(1+inflation)</f>
        <v>0</v>
      </c>
    </row>
    <row r="827" spans="1:8" hidden="1" x14ac:dyDescent="0.3">
      <c r="A827" s="26" t="str">
        <f t="shared" ref="A827:A834" si="97">A816</f>
        <v>WEC</v>
      </c>
      <c r="B827" s="120"/>
      <c r="C827" s="121"/>
      <c r="D827" s="121"/>
      <c r="E827" s="121"/>
      <c r="F827" s="121"/>
      <c r="G827" s="115"/>
      <c r="H827" s="116"/>
    </row>
    <row r="828" spans="1:8" hidden="1" x14ac:dyDescent="0.3">
      <c r="A828" s="26" t="str">
        <f t="shared" si="97"/>
        <v xml:space="preserve">Losses </v>
      </c>
      <c r="B828" s="120"/>
      <c r="C828" s="121"/>
      <c r="D828" s="121"/>
      <c r="E828" s="121"/>
      <c r="F828" s="121"/>
      <c r="G828" s="113"/>
      <c r="H828" s="114"/>
    </row>
    <row r="829" spans="1:8" hidden="1" x14ac:dyDescent="0.3">
      <c r="A829" s="26" t="str">
        <f t="shared" si="97"/>
        <v>Market Fees</v>
      </c>
      <c r="B829" s="120"/>
      <c r="C829" s="121"/>
      <c r="D829" s="121"/>
      <c r="E829" s="121"/>
      <c r="F829" s="121"/>
      <c r="G829" s="113"/>
      <c r="H829" s="114"/>
    </row>
    <row r="830" spans="1:8" hidden="1" x14ac:dyDescent="0.3">
      <c r="A830" s="26" t="str">
        <f t="shared" si="97"/>
        <v>Carbon</v>
      </c>
      <c r="B830" s="120"/>
      <c r="C830" s="121"/>
      <c r="D830" s="122"/>
      <c r="E830" s="122"/>
      <c r="F830" s="121"/>
      <c r="G830" s="113"/>
      <c r="H830" s="114"/>
    </row>
    <row r="831" spans="1:8" hidden="1" x14ac:dyDescent="0.3">
      <c r="A831" s="26" t="str">
        <f t="shared" si="97"/>
        <v>LRET</v>
      </c>
      <c r="B831" s="120"/>
      <c r="C831" s="121"/>
      <c r="D831" s="121"/>
      <c r="E831" s="121"/>
      <c r="F831" s="121"/>
      <c r="G831" s="113"/>
      <c r="H831" s="114"/>
    </row>
    <row r="832" spans="1:8" hidden="1" x14ac:dyDescent="0.3">
      <c r="A832" s="26" t="str">
        <f t="shared" si="97"/>
        <v>Small scale renewable energy scheme</v>
      </c>
      <c r="B832" s="120"/>
      <c r="C832" s="121"/>
      <c r="D832" s="121"/>
      <c r="E832" s="121"/>
      <c r="F832" s="121"/>
      <c r="G832" s="113"/>
      <c r="H832" s="114"/>
    </row>
    <row r="833" spans="1:8" hidden="1" x14ac:dyDescent="0.3">
      <c r="A833" s="26" t="str">
        <f t="shared" si="97"/>
        <v>blank</v>
      </c>
      <c r="B833" s="120"/>
      <c r="C833" s="121"/>
      <c r="D833" s="121"/>
      <c r="E833" s="121"/>
      <c r="F833" s="121"/>
      <c r="G833" s="121"/>
      <c r="H833" s="121"/>
    </row>
    <row r="834" spans="1:8" hidden="1" x14ac:dyDescent="0.3">
      <c r="A834" s="26" t="str">
        <f t="shared" si="97"/>
        <v>blank</v>
      </c>
      <c r="B834" s="120"/>
      <c r="C834" s="121"/>
      <c r="D834" s="121"/>
      <c r="E834" s="121"/>
      <c r="F834" s="121"/>
      <c r="G834" s="46"/>
      <c r="H834" s="47"/>
    </row>
    <row r="835" spans="1:8" hidden="1" x14ac:dyDescent="0.3"/>
    <row r="836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11" manualBreakCount="11">
    <brk id="76" max="16383" man="1"/>
    <brk id="156" max="16383" man="1"/>
    <brk id="220" max="16383" man="1"/>
    <brk id="253" max="16383" man="1"/>
    <brk id="285" max="16383" man="1"/>
    <brk id="361" max="16383" man="1"/>
    <brk id="404" max="16383" man="1"/>
    <brk id="479" max="16383" man="1"/>
    <brk id="558" max="16383" man="1"/>
    <brk id="638" max="16383" man="1"/>
    <brk id="711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7"/>
  <sheetViews>
    <sheetView zoomScaleNormal="100" workbookViewId="0">
      <pane xSplit="3" ySplit="4" topLeftCell="D5" activePane="bottomRight" state="frozenSplit"/>
      <selection activeCell="I13" sqref="I13"/>
      <selection pane="topRight" activeCell="I13" sqref="I13"/>
      <selection pane="bottomLeft" activeCell="I13" sqref="I13"/>
      <selection pane="bottomRight" activeCell="C177" sqref="C177"/>
    </sheetView>
  </sheetViews>
  <sheetFormatPr defaultColWidth="9.140625" defaultRowHeight="16.5" x14ac:dyDescent="0.3"/>
  <cols>
    <col min="1" max="1" width="28.42578125" style="4" customWidth="1"/>
    <col min="2" max="2" width="14.140625" style="4" customWidth="1"/>
    <col min="3" max="3" width="9.140625" style="4"/>
    <col min="4" max="4" width="10.5703125" style="80" bestFit="1" customWidth="1"/>
    <col min="5" max="5" width="11.5703125" style="80" bestFit="1" customWidth="1"/>
    <col min="6" max="6" width="12.7109375" style="80" bestFit="1" customWidth="1"/>
    <col min="7" max="7" width="10.42578125" style="80" bestFit="1" customWidth="1"/>
    <col min="8" max="8" width="12" style="80" bestFit="1" customWidth="1"/>
    <col min="9" max="9" width="12" style="4" bestFit="1" customWidth="1"/>
    <col min="10" max="10" width="10.42578125" style="4" bestFit="1" customWidth="1"/>
    <col min="11" max="14" width="9.140625" style="4"/>
    <col min="15" max="15" width="10.5703125" style="4" bestFit="1" customWidth="1"/>
    <col min="16" max="16384" width="9.140625" style="4"/>
  </cols>
  <sheetData>
    <row r="1" spans="1:16" s="9" customFormat="1" ht="23.25" x14ac:dyDescent="0.35">
      <c r="A1" s="9" t="s">
        <v>1</v>
      </c>
      <c r="B1" s="10" t="str">
        <f ca="1">'Input Global'!B1</f>
        <v>2012 Pricing Trends - model - NT</v>
      </c>
      <c r="C1" s="10"/>
      <c r="D1" s="82"/>
      <c r="E1" s="82"/>
      <c r="F1" s="82"/>
      <c r="G1" s="81"/>
      <c r="H1" s="81"/>
      <c r="I1" s="63" t="s">
        <v>31</v>
      </c>
    </row>
    <row r="2" spans="1:16" s="9" customFormat="1" ht="19.5" thickBot="1" x14ac:dyDescent="0.35">
      <c r="B2" s="11" t="str">
        <f ca="1">RIGHT(CELL("filename",B2),LEN(CELL("filename",B2))-SEARCH("]",CELL("filename",B2)))</f>
        <v>Calc (Jurisdiction)</v>
      </c>
      <c r="C2" s="12"/>
      <c r="D2" s="83"/>
      <c r="E2" s="83"/>
      <c r="F2" s="83"/>
      <c r="G2" s="81"/>
      <c r="H2" s="81"/>
      <c r="I2" s="69" t="s">
        <v>25</v>
      </c>
    </row>
    <row r="3" spans="1:16" s="9" customFormat="1" ht="17.25" thickBot="1" x14ac:dyDescent="0.35">
      <c r="D3" s="81"/>
      <c r="E3" s="81"/>
      <c r="F3" s="81"/>
      <c r="G3" s="81"/>
      <c r="H3" s="81"/>
      <c r="I3" s="70" t="s">
        <v>32</v>
      </c>
    </row>
    <row r="4" spans="1:16" s="9" customFormat="1" ht="15.75" x14ac:dyDescent="0.3">
      <c r="B4" s="13"/>
      <c r="C4" s="13" t="s">
        <v>8</v>
      </c>
      <c r="D4" s="84" t="str">
        <f>'Input Global'!D4</f>
        <v>2010/11</v>
      </c>
      <c r="E4" s="84" t="str">
        <f>'Input Global'!E4</f>
        <v>2011/12</v>
      </c>
      <c r="F4" s="84" t="str">
        <f>'Input Global'!F4</f>
        <v>2012/13</v>
      </c>
      <c r="G4" s="84" t="str">
        <f>'Input Global'!G4</f>
        <v>2013/14</v>
      </c>
      <c r="H4" s="84" t="str">
        <f>'Input Global'!H4</f>
        <v>2014/15</v>
      </c>
    </row>
    <row r="6" spans="1:16" ht="18.75" x14ac:dyDescent="0.3">
      <c r="A6" s="3" t="s">
        <v>38</v>
      </c>
      <c r="B6" s="8" t="s">
        <v>42</v>
      </c>
    </row>
    <row r="7" spans="1:16" x14ac:dyDescent="0.3">
      <c r="A7" s="5" t="str">
        <f>Dist1</f>
        <v>Northern Territory</v>
      </c>
    </row>
    <row r="8" spans="1:16" x14ac:dyDescent="0.3">
      <c r="A8" s="4" t="s">
        <v>1</v>
      </c>
      <c r="B8" s="4" t="s">
        <v>37</v>
      </c>
      <c r="C8" s="4" t="s">
        <v>57</v>
      </c>
      <c r="D8" s="91">
        <f ca="1">VLOOKUP($B$2,dist1wholesale,COLUMN('Calc (Jurisdiction)'!D8),FALSE)*'Input Global'!D18</f>
        <v>0</v>
      </c>
      <c r="E8" s="91">
        <f ca="1">VLOOKUP($B$2,dist1wholesale,COLUMN('Calc (Jurisdiction)'!E8),FALSE)*'Input Global'!E18</f>
        <v>123222.45599999999</v>
      </c>
      <c r="F8" s="91">
        <f ca="1">VLOOKUP($B$2,dist1wholesale,COLUMN('Calc (Jurisdiction)'!F8),FALSE)*'Input Global'!F18</f>
        <v>126877.14327272726</v>
      </c>
      <c r="G8" s="91">
        <f ca="1">VLOOKUP($B$2,dist1wholesale,COLUMN('Calc (Jurisdiction)'!G8),FALSE)*'Input Global'!G18</f>
        <v>180684.06627945203</v>
      </c>
      <c r="H8" s="91">
        <f ca="1">VLOOKUP($B$2,dist1wholesale,COLUMN('Calc (Jurisdiction)'!H8),FALSE)*'Input Global'!H18</f>
        <v>185201.16793643832</v>
      </c>
      <c r="K8" s="80"/>
      <c r="L8" s="80"/>
      <c r="M8" s="80"/>
    </row>
    <row r="9" spans="1:16" x14ac:dyDescent="0.3">
      <c r="A9" s="4" t="s">
        <v>40</v>
      </c>
      <c r="B9" s="4" t="s">
        <v>37</v>
      </c>
      <c r="C9" s="4" t="s">
        <v>57</v>
      </c>
      <c r="D9" s="91">
        <f>'Input General'!D8+(SUMPRODUCT('Input General'!D9:D12,'Input General'!D111:D114)*'Input Global'!D18)</f>
        <v>0</v>
      </c>
      <c r="E9" s="91">
        <f>'Input General'!E8+(SUMPRODUCT('Input General'!E9:E12,'Input General'!E111:E114)*'Input Global'!E18)</f>
        <v>0</v>
      </c>
      <c r="F9" s="91">
        <f>'Input General'!F8+(SUMPRODUCT('Input General'!F9:F12,'Input General'!F111:F114)*'Input Global'!F18)</f>
        <v>0</v>
      </c>
      <c r="G9" s="91">
        <f>'Input General'!G8+(SUMPRODUCT('Input General'!G9:G12,'Input General'!G111:G114)*'Input Global'!G18)</f>
        <v>0</v>
      </c>
      <c r="H9" s="91">
        <f>'Input General'!H8+(SUMPRODUCT('Input General'!H9:H12,'Input General'!H111:H114)*'Input Global'!H18)</f>
        <v>0</v>
      </c>
      <c r="J9" s="80"/>
      <c r="K9" s="80"/>
      <c r="L9" s="80"/>
      <c r="M9" s="80"/>
    </row>
    <row r="10" spans="1:16" x14ac:dyDescent="0.3">
      <c r="A10" s="4" t="s">
        <v>39</v>
      </c>
      <c r="B10" s="4" t="s">
        <v>37</v>
      </c>
      <c r="C10" s="4" t="s">
        <v>57</v>
      </c>
      <c r="D10" s="91">
        <f>'Input General'!D40+SUMPRODUCT('Input General'!D41:D44,'Input General'!D111:D114)*'Input Global'!D18+'Input General'!D71</f>
        <v>0</v>
      </c>
      <c r="E10" s="91">
        <f>'Input General'!E40+SUMPRODUCT('Input General'!E41:E44,'Input General'!E111:E114)*'Input Global'!E18+'Input General'!E71</f>
        <v>67212.248727272716</v>
      </c>
      <c r="F10" s="91">
        <f>'Input General'!F40+SUMPRODUCT('Input General'!F41:F44,'Input General'!F111:F114)*'Input Global'!F18+'Input General'!F71</f>
        <v>70487.301818181819</v>
      </c>
      <c r="G10" s="91">
        <f>'Input General'!G40+SUMPRODUCT('Input General'!G41:G44,'Input General'!G111:G114)*'Input Global'!G18+'Input General'!G71</f>
        <v>74074.804363636358</v>
      </c>
      <c r="H10" s="91">
        <f>'Input General'!H40+SUMPRODUCT('Input General'!H41:H44,'Input General'!H111:H114)*'Input Global'!H18+'Input General'!H71</f>
        <v>76572.051205745433</v>
      </c>
      <c r="J10" s="80"/>
      <c r="K10" s="80"/>
      <c r="L10" s="80"/>
      <c r="M10" s="80"/>
      <c r="P10" s="15"/>
    </row>
    <row r="11" spans="1:16" x14ac:dyDescent="0.3">
      <c r="A11" s="4" t="s">
        <v>15</v>
      </c>
      <c r="B11" s="4" t="s">
        <v>37</v>
      </c>
      <c r="C11" s="4" t="s">
        <v>57</v>
      </c>
      <c r="D11" s="91">
        <f>'Input General'!D138*'Input Global'!D18</f>
        <v>0</v>
      </c>
      <c r="E11" s="91">
        <f>'Input General'!E138*'Input Global'!E18</f>
        <v>2560.4666181818179</v>
      </c>
      <c r="F11" s="91">
        <f>'Input General'!F138*'Input Global'!F18</f>
        <v>2819.4920727272729</v>
      </c>
      <c r="G11" s="91">
        <f>'Input General'!G138*'Input Global'!G18</f>
        <v>4015.2014728767126</v>
      </c>
      <c r="H11" s="91">
        <f>'Input General'!H138*'Input Global'!H18</f>
        <v>4115.5815096986298</v>
      </c>
      <c r="J11" s="80"/>
      <c r="K11" s="80"/>
      <c r="L11" s="80"/>
      <c r="M11" s="80"/>
      <c r="O11" s="15"/>
      <c r="P11" s="15"/>
    </row>
    <row r="12" spans="1:16" x14ac:dyDescent="0.3">
      <c r="A12" s="4" t="s">
        <v>111</v>
      </c>
      <c r="B12" s="4" t="s">
        <v>37</v>
      </c>
      <c r="C12" s="4" t="s">
        <v>57</v>
      </c>
      <c r="D12" s="91">
        <f ca="1">VLOOKUP($B$2,'Input General'!$A$223:$H$227,COLUMN(D12),FALSE)*'Input Global'!D33</f>
        <v>0</v>
      </c>
      <c r="E12" s="91">
        <f ca="1">VLOOKUP($B$2,'Input General'!$A$223:$H$227,COLUMN(E12),FALSE)*'Input Global'!E33</f>
        <v>0</v>
      </c>
      <c r="F12" s="91">
        <f ca="1">VLOOKUP($B$2,'Input General'!$A$223:$H$227,COLUMN(F12),FALSE)*'Input Global'!F33</f>
        <v>0</v>
      </c>
      <c r="G12" s="91">
        <f ca="1">VLOOKUP($B$2,'Input General'!$A$223:$H$227,COLUMN(G12),FALSE)*'Input Global'!G33</f>
        <v>0</v>
      </c>
      <c r="H12" s="91">
        <f ca="1">VLOOKUP($B$2,'Input General'!$A$223:$H$227,COLUMN(H12),FALSE)*'Input Global'!H33</f>
        <v>0</v>
      </c>
      <c r="J12" s="80"/>
      <c r="K12" s="80"/>
      <c r="L12" s="80"/>
      <c r="M12" s="80"/>
      <c r="O12" s="15"/>
      <c r="P12" s="15"/>
    </row>
    <row r="13" spans="1:16" x14ac:dyDescent="0.3">
      <c r="A13" s="4" t="s">
        <v>41</v>
      </c>
      <c r="D13" s="86"/>
      <c r="E13" s="86"/>
      <c r="F13" s="86"/>
      <c r="G13" s="86"/>
      <c r="H13" s="86"/>
      <c r="K13" s="16"/>
      <c r="M13" s="17"/>
      <c r="O13" s="15"/>
      <c r="P13" s="15"/>
    </row>
    <row r="14" spans="1:16" x14ac:dyDescent="0.3">
      <c r="A14" s="6" t="s">
        <v>62</v>
      </c>
      <c r="B14" s="4" t="s">
        <v>37</v>
      </c>
      <c r="C14" s="4" t="s">
        <v>57</v>
      </c>
      <c r="D14" s="91">
        <f>'Input General'!D79+SUMPRODUCT('Input General'!D80:D83,'Input General'!D111:D114)*'Input Global'!D18</f>
        <v>0</v>
      </c>
      <c r="E14" s="91">
        <f>'Input General'!E79+SUMPRODUCT('Input General'!E80:E83,'Input General'!E111:E114)*'Input Global'!E18</f>
        <v>0</v>
      </c>
      <c r="F14" s="91">
        <f>'Input General'!F79+SUMPRODUCT('Input General'!F80:F83,'Input General'!F111:F114)*'Input Global'!F18</f>
        <v>0</v>
      </c>
      <c r="G14" s="91">
        <f>'Input General'!G79+SUMPRODUCT('Input General'!G80:G83,'Input General'!G111:G114)*'Input Global'!G18</f>
        <v>0</v>
      </c>
      <c r="H14" s="91">
        <f>'Input General'!H79+SUMPRODUCT('Input General'!H80:H83,'Input General'!H111:H114)*'Input Global'!H18</f>
        <v>0</v>
      </c>
      <c r="J14" s="80"/>
      <c r="K14" s="80"/>
      <c r="L14" s="80"/>
      <c r="M14" s="80"/>
      <c r="O14" s="15"/>
      <c r="P14" s="15"/>
    </row>
    <row r="15" spans="1:16" x14ac:dyDescent="0.3">
      <c r="A15" s="6" t="str">
        <f>'Input Frontier'!A41</f>
        <v>Carbon costs</v>
      </c>
      <c r="B15" s="4" t="s">
        <v>37</v>
      </c>
      <c r="C15" s="4" t="s">
        <v>57</v>
      </c>
      <c r="D15" s="91">
        <f ca="1">VLOOKUP($B$2,'Input General'!$A$256:$H$260, COLUMN('Input General'!D256),FALSE)*'Input Global'!D$18</f>
        <v>0</v>
      </c>
      <c r="E15" s="91">
        <f ca="1">VLOOKUP($B$2,'Input General'!$A$256:$H$260, COLUMN('Input General'!E256),FALSE)*'Input Global'!E$18</f>
        <v>0</v>
      </c>
      <c r="F15" s="91">
        <f ca="1">VLOOKUP($B$2,'Input General'!$A$256:$H$260, COLUMN('Input General'!F256),FALSE)*'Input Global'!F$18</f>
        <v>11806.623054545455</v>
      </c>
      <c r="G15" s="91">
        <f ca="1">VLOOKUP($B$2,'Input General'!$A$256:$H$260, COLUMN('Input General'!G256),FALSE)*'Input Global'!G$18</f>
        <v>16813.65616767123</v>
      </c>
      <c r="H15" s="91">
        <f ca="1">VLOOKUP($B$2,'Input General'!$A$256:$H$260, COLUMN('Input General'!H256),FALSE)*'Input Global'!H$18</f>
        <v>17233.997571863008</v>
      </c>
      <c r="I15" s="18"/>
      <c r="J15" s="80"/>
      <c r="K15" s="80"/>
      <c r="L15" s="80"/>
      <c r="M15" s="80"/>
    </row>
    <row r="16" spans="1:16" x14ac:dyDescent="0.3">
      <c r="A16" s="6" t="s">
        <v>90</v>
      </c>
      <c r="B16" s="4" t="s">
        <v>37</v>
      </c>
      <c r="C16" s="4" t="s">
        <v>57</v>
      </c>
      <c r="D16" s="91">
        <f ca="1">VLOOKUP($B$2,'Input General'!$A319:$H324,COLUMN(D16),FALSE)*'Input Global'!D18</f>
        <v>0</v>
      </c>
      <c r="E16" s="91">
        <f ca="1">VLOOKUP($B$2,'Input General'!$A319:$H324,COLUMN(E16),FALSE)*'Input Global'!E18</f>
        <v>0</v>
      </c>
      <c r="F16" s="91">
        <f ca="1">VLOOKUP($B$2,'Input General'!$A319:$H324,COLUMN(F16),FALSE)*'Input Global'!F18</f>
        <v>0</v>
      </c>
      <c r="G16" s="91">
        <f ca="1">VLOOKUP($B$2,'Input General'!$A319:$H324,COLUMN(G16),FALSE)*'Input Global'!G18</f>
        <v>0</v>
      </c>
      <c r="H16" s="91">
        <f ca="1">VLOOKUP($B$2,'Input General'!$A319:$H324,COLUMN(H16),FALSE)*'Input Global'!H18</f>
        <v>0</v>
      </c>
      <c r="I16" s="18"/>
      <c r="J16" s="80"/>
      <c r="K16" s="80"/>
      <c r="L16" s="80"/>
      <c r="M16" s="80"/>
    </row>
    <row r="17" spans="1:13" x14ac:dyDescent="0.3">
      <c r="A17" s="6" t="s">
        <v>91</v>
      </c>
      <c r="B17" s="4" t="s">
        <v>37</v>
      </c>
      <c r="C17" s="4" t="s">
        <v>57</v>
      </c>
      <c r="D17" s="91">
        <f ca="1">'Input General'!D139*'Input Global'!D18</f>
        <v>0</v>
      </c>
      <c r="E17" s="91">
        <f ca="1">'Input General'!E139*'Input Global'!E18</f>
        <v>0</v>
      </c>
      <c r="F17" s="91">
        <f ca="1">'Input General'!F139*'Input Global'!F18</f>
        <v>0</v>
      </c>
      <c r="G17" s="91">
        <f ca="1">'Input General'!G139*'Input Global'!G18</f>
        <v>0</v>
      </c>
      <c r="H17" s="91">
        <f ca="1">'Input General'!H139*'Input Global'!H18</f>
        <v>0</v>
      </c>
      <c r="I17" s="18"/>
      <c r="J17" s="80"/>
      <c r="K17" s="80"/>
      <c r="L17" s="80"/>
      <c r="M17" s="80"/>
    </row>
    <row r="18" spans="1:13" x14ac:dyDescent="0.3">
      <c r="A18" s="6" t="str">
        <f>Scheme1</f>
        <v>blank</v>
      </c>
      <c r="B18" s="4" t="s">
        <v>37</v>
      </c>
      <c r="C18" s="4" t="s">
        <v>57</v>
      </c>
      <c r="D18" s="91">
        <f ca="1">VLOOKUP($B$2,'Input General'!$A$159:$H$163,COLUMN(D18),FALSE)*'Input Global'!D$18</f>
        <v>0</v>
      </c>
      <c r="E18" s="91">
        <f ca="1">VLOOKUP($B$2,'Input General'!$A$159:$H$163,COLUMN(E18),FALSE)*'Input Global'!E$18</f>
        <v>0</v>
      </c>
      <c r="F18" s="91">
        <f ca="1">VLOOKUP($B$2,'Input General'!$A$159:$H$163,COLUMN(F18),FALSE)*'Input Global'!F$18</f>
        <v>0</v>
      </c>
      <c r="G18" s="91">
        <f ca="1">VLOOKUP($B$2,'Input General'!$A$159:$H$163,COLUMN(G18),FALSE)*'Input Global'!G$18</f>
        <v>0</v>
      </c>
      <c r="H18" s="91">
        <f ca="1">VLOOKUP($B$2,'Input General'!$A$159:$H$163,COLUMN(H18),FALSE)*'Input Global'!H$18</f>
        <v>0</v>
      </c>
      <c r="I18" s="18"/>
      <c r="J18" s="80"/>
      <c r="K18" s="80"/>
      <c r="L18" s="80"/>
      <c r="M18" s="80"/>
    </row>
    <row r="19" spans="1:13" x14ac:dyDescent="0.3">
      <c r="A19" s="6" t="str">
        <f>Scheme2</f>
        <v>blank</v>
      </c>
      <c r="B19" s="4" t="s">
        <v>37</v>
      </c>
      <c r="C19" s="4" t="s">
        <v>57</v>
      </c>
      <c r="D19" s="91">
        <f ca="1">VLOOKUP($B$2,'Input General'!$A$191:$H$195,COLUMN(D19),FALSE)*'Input Global'!D$18</f>
        <v>0</v>
      </c>
      <c r="E19" s="91">
        <f ca="1">VLOOKUP($B$2,'Input General'!$A$191:$H$195,COLUMN(E19),FALSE)*'Input Global'!E$18</f>
        <v>0</v>
      </c>
      <c r="F19" s="91">
        <f ca="1">VLOOKUP($B$2,'Input General'!$A$191:$H$195,COLUMN(F19),FALSE)*'Input Global'!F$18</f>
        <v>0</v>
      </c>
      <c r="G19" s="91">
        <f ca="1">VLOOKUP($B$2,'Input General'!$A$191:$H$195,COLUMN(G19),FALSE)*'Input Global'!G$18</f>
        <v>0</v>
      </c>
      <c r="H19" s="91">
        <f ca="1">VLOOKUP($B$2,'Input General'!$A$191:$H$195,COLUMN(H19),FALSE)*'Input Global'!H$18</f>
        <v>0</v>
      </c>
      <c r="I19" s="18"/>
    </row>
    <row r="20" spans="1:13" x14ac:dyDescent="0.3">
      <c r="A20" s="7" t="s">
        <v>55</v>
      </c>
      <c r="B20" s="7" t="s">
        <v>37</v>
      </c>
      <c r="C20" s="7" t="s">
        <v>57</v>
      </c>
      <c r="D20" s="91">
        <f ca="1">SUM(D8:D19)</f>
        <v>0</v>
      </c>
      <c r="E20" s="91">
        <f t="shared" ref="E20:H20" ca="1" si="0">SUM(E8:E19)</f>
        <v>192995.17134545452</v>
      </c>
      <c r="F20" s="91">
        <f t="shared" ca="1" si="0"/>
        <v>211990.56021818181</v>
      </c>
      <c r="G20" s="91">
        <f t="shared" ca="1" si="0"/>
        <v>275587.72828363633</v>
      </c>
      <c r="H20" s="91">
        <f t="shared" ca="1" si="0"/>
        <v>283122.79822374537</v>
      </c>
      <c r="J20" s="80"/>
      <c r="K20" s="80"/>
      <c r="L20" s="80"/>
      <c r="M20" s="80"/>
    </row>
    <row r="21" spans="1:13" hidden="1" x14ac:dyDescent="0.3">
      <c r="A21" s="118"/>
      <c r="B21" s="118"/>
      <c r="C21" s="118"/>
      <c r="D21" s="119"/>
      <c r="E21" s="119"/>
      <c r="F21" s="119"/>
      <c r="G21" s="119"/>
      <c r="H21" s="119"/>
    </row>
    <row r="22" spans="1:13" hidden="1" x14ac:dyDescent="0.3">
      <c r="A22" s="5" t="str">
        <f>Dist2</f>
        <v>blank</v>
      </c>
    </row>
    <row r="23" spans="1:13" hidden="1" x14ac:dyDescent="0.3">
      <c r="A23" s="4" t="str">
        <f>A8</f>
        <v>Wholesale</v>
      </c>
      <c r="B23" s="4" t="s">
        <v>37</v>
      </c>
      <c r="C23" s="4" t="s">
        <v>57</v>
      </c>
      <c r="D23" s="91">
        <f>IF(LEFT($A$22,5)="blank",0,VLOOKUP($B$2,dist2wholesale,COLUMN(D8),FALSE)*'Input Global'!D19)</f>
        <v>0</v>
      </c>
      <c r="E23" s="91">
        <f>IF(LEFT($A$22,5)="blank",0,VLOOKUP($B$2,dist2wholesale,COLUMN(E8),FALSE)*'Input Global'!E19)</f>
        <v>0</v>
      </c>
      <c r="F23" s="91">
        <f>IF(LEFT($A$22,5)="blank",0,VLOOKUP($B$2,dist2wholesale,COLUMN(F8),FALSE)*'Input Global'!F19)</f>
        <v>0</v>
      </c>
      <c r="G23" s="91">
        <f>IF(LEFT($A$22,5)="blank",0,VLOOKUP($B$2,dist2wholesale,COLUMN(G8),FALSE)*'Input Global'!G19)</f>
        <v>0</v>
      </c>
      <c r="H23" s="91">
        <f>IF(LEFT($A$22,5)="blank",0,VLOOKUP($B$2,dist2wholesale,COLUMN(H8),FALSE)*'Input Global'!H19)</f>
        <v>0</v>
      </c>
    </row>
    <row r="24" spans="1:13" hidden="1" x14ac:dyDescent="0.3">
      <c r="A24" s="4" t="str">
        <f t="shared" ref="A24:A34" si="1">A9</f>
        <v>Transmission</v>
      </c>
      <c r="B24" s="4" t="s">
        <v>37</v>
      </c>
      <c r="C24" s="4" t="s">
        <v>57</v>
      </c>
      <c r="D24" s="91">
        <f>IF(LEFT($A$22,5)="blank",0,'Input General'!D14+(SUMPRODUCT('Input General'!D15:D18,'Input General'!D116:D119)*'Input Global'!D19))</f>
        <v>0</v>
      </c>
      <c r="E24" s="91">
        <f>IF(LEFT($A$22,5)="blank",0,'Input General'!E14+(SUMPRODUCT('Input General'!E15:E18,'Input General'!E116:E119)*'Input Global'!E19))</f>
        <v>0</v>
      </c>
      <c r="F24" s="91">
        <f>IF(LEFT($A$22,5)="blank",0,'Input General'!F14+(SUMPRODUCT('Input General'!F15:F18,'Input General'!F116:F119)*'Input Global'!F19))</f>
        <v>0</v>
      </c>
      <c r="G24" s="91">
        <f>IF(LEFT($A$22,5)="blank",0,'Input General'!G14+(SUMPRODUCT('Input General'!G15:G18,'Input General'!G116:G119)*'Input Global'!G19))</f>
        <v>0</v>
      </c>
      <c r="H24" s="91">
        <f>IF(LEFT($A$22,5)="blank",0,'Input General'!H14+(SUMPRODUCT('Input General'!H15:H18,'Input General'!H116:H119)*'Input Global'!H19))</f>
        <v>0</v>
      </c>
    </row>
    <row r="25" spans="1:13" hidden="1" x14ac:dyDescent="0.3">
      <c r="A25" s="4" t="str">
        <f t="shared" si="1"/>
        <v>Distribution</v>
      </c>
      <c r="B25" s="4" t="s">
        <v>37</v>
      </c>
      <c r="C25" s="4" t="s">
        <v>57</v>
      </c>
      <c r="D25" s="91">
        <f>IF(LEFT($A$22,5)="blank",0,'Input General'!D46+SUMPRODUCT('Input General'!D47:D50,'Input General'!D116:D119)*'Input Global'!D19+'Input General'!D72)</f>
        <v>0</v>
      </c>
      <c r="E25" s="91">
        <f>IF(LEFT($A$22,5)="blank",0,'Input General'!E46+SUMPRODUCT('Input General'!E47:E50,'Input General'!E116:E119)*'Input Global'!E19+'Input General'!E72)</f>
        <v>0</v>
      </c>
      <c r="F25" s="91">
        <f>IF(LEFT($A$22,5)="blank",0,'Input General'!F46+SUMPRODUCT('Input General'!F47:F50,'Input General'!F116:F119)*'Input Global'!F19+'Input General'!F72)</f>
        <v>0</v>
      </c>
      <c r="G25" s="91">
        <f>IF(LEFT($A$22,5)="blank",0,'Input General'!G46+SUMPRODUCT('Input General'!G47:G50,'Input General'!G116:G119)*'Input Global'!G19+'Input General'!G72)</f>
        <v>0</v>
      </c>
      <c r="H25" s="91">
        <f>IF(LEFT($A$22,5)="blank",0,'Input General'!H46+SUMPRODUCT('Input General'!H47:H50,'Input General'!H116:H119)*'Input Global'!H19+'Input General'!H72)</f>
        <v>0</v>
      </c>
    </row>
    <row r="26" spans="1:13" hidden="1" x14ac:dyDescent="0.3">
      <c r="A26" s="4" t="str">
        <f t="shared" si="1"/>
        <v>Retail</v>
      </c>
      <c r="B26" s="4" t="s">
        <v>37</v>
      </c>
      <c r="C26" s="4" t="s">
        <v>57</v>
      </c>
      <c r="D26" s="91">
        <f>IF(LEFT($A$22,5)="blank",0,'Input General'!D142*'Input Global'!D19)</f>
        <v>0</v>
      </c>
      <c r="E26" s="91">
        <f>IF(LEFT($A$22,5)="blank",0,'Input General'!E142*'Input Global'!E19)</f>
        <v>0</v>
      </c>
      <c r="F26" s="91">
        <f>IF(LEFT($A$22,5)="blank",0,'Input General'!F142*'Input Global'!F19)</f>
        <v>0</v>
      </c>
      <c r="G26" s="91">
        <f>IF(LEFT($A$22,5)="blank",0,'Input General'!G142*'Input Global'!G19)</f>
        <v>0</v>
      </c>
      <c r="H26" s="91">
        <f>IF(LEFT($A$22,5)="blank",0,'Input General'!H142*'Input Global'!H19)</f>
        <v>0</v>
      </c>
    </row>
    <row r="27" spans="1:13" hidden="1" x14ac:dyDescent="0.3">
      <c r="A27" s="4" t="str">
        <f t="shared" si="1"/>
        <v>Retail and Residual</v>
      </c>
      <c r="B27" s="4" t="s">
        <v>37</v>
      </c>
      <c r="C27" s="4" t="s">
        <v>57</v>
      </c>
      <c r="D27" s="91">
        <f>IF(LEFT($A$22,5)="blank",0,VLOOKUP($B$2,'Input General'!$A$229:$H$233,COLUMN(D12),FALSE)*'Input Global'!D$34)</f>
        <v>0</v>
      </c>
      <c r="E27" s="91">
        <f>IF(LEFT($A$22,5)="blank",0,VLOOKUP($B$2,'Input General'!$A$229:$H$233,COLUMN(E12),FALSE)*'Input Global'!E$34)</f>
        <v>0</v>
      </c>
      <c r="F27" s="91">
        <f>IF(LEFT($A$22,5)="blank",0,VLOOKUP($B$2,'Input General'!$A$229:$H$233,COLUMN(F12),FALSE)*'Input Global'!F$34)</f>
        <v>0</v>
      </c>
      <c r="G27" s="91">
        <f>IF(LEFT($A$22,5)="blank",0,VLOOKUP($B$2,'Input General'!$A$229:$H$233,COLUMN(G12),FALSE)*'Input Global'!G$34)</f>
        <v>0</v>
      </c>
      <c r="H27" s="91">
        <f>IF(LEFT($A$22,5)="blank",0,VLOOKUP($B$2,'Input General'!$A$229:$H$233,COLUMN(H12),FALSE)*'Input Global'!H$34)</f>
        <v>0</v>
      </c>
      <c r="I27" s="18"/>
    </row>
    <row r="28" spans="1:13" hidden="1" x14ac:dyDescent="0.3">
      <c r="A28" s="4" t="str">
        <f t="shared" si="1"/>
        <v>Green Schemes</v>
      </c>
      <c r="D28" s="86"/>
      <c r="E28" s="86"/>
      <c r="F28" s="86"/>
      <c r="G28" s="86"/>
      <c r="H28" s="86"/>
    </row>
    <row r="29" spans="1:13" hidden="1" x14ac:dyDescent="0.3">
      <c r="A29" s="6" t="str">
        <f t="shared" si="1"/>
        <v>Feed-in Tariffs</v>
      </c>
      <c r="B29" s="4" t="s">
        <v>37</v>
      </c>
      <c r="C29" s="4" t="s">
        <v>57</v>
      </c>
      <c r="D29" s="91">
        <f>IF(LEFT($A$22,5)="blank",0,'Input General'!D85+SUMPRODUCT('Input General'!D86:D89,'Input General'!D116:D119)*'Input Global'!D19)</f>
        <v>0</v>
      </c>
      <c r="E29" s="91">
        <f>IF(LEFT($A$22,5)="blank",0,'Input General'!E85+SUMPRODUCT('Input General'!E86:E89,'Input General'!E116:E119)*'Input Global'!E19)</f>
        <v>0</v>
      </c>
      <c r="F29" s="91">
        <f>IF(LEFT($A$22,5)="blank",0,'Input General'!F85+SUMPRODUCT('Input General'!F86:F89,'Input General'!F116:F119)*'Input Global'!F19)</f>
        <v>0</v>
      </c>
      <c r="G29" s="91">
        <f>IF(LEFT($A$22,5)="blank",0,'Input General'!G85+SUMPRODUCT('Input General'!G86:G89,'Input General'!G116:G119)*'Input Global'!G19)</f>
        <v>0</v>
      </c>
      <c r="H29" s="91">
        <f>IF(LEFT($A$22,5)="blank",0,'Input General'!H85+SUMPRODUCT('Input General'!H86:H89,'Input General'!H116:H119)*'Input Global'!H19)</f>
        <v>0</v>
      </c>
    </row>
    <row r="30" spans="1:13" hidden="1" x14ac:dyDescent="0.3">
      <c r="A30" s="6" t="str">
        <f t="shared" si="1"/>
        <v>Carbon costs</v>
      </c>
      <c r="B30" s="4" t="s">
        <v>37</v>
      </c>
      <c r="C30" s="4" t="s">
        <v>57</v>
      </c>
      <c r="D30" s="91">
        <f>IF(LEFT($A$22,5)="blank",0,VLOOKUP($B$2,'Input General'!$A$262:$H$266,COLUMN('Input General'!D262),FALSE)*'Input Global'!D$19)</f>
        <v>0</v>
      </c>
      <c r="E30" s="91">
        <f>IF(LEFT($A$22,5)="blank",0,VLOOKUP($B$2,'Input General'!$A$262:$H$266,COLUMN('Input General'!E262),FALSE)*'Input Global'!E$19)</f>
        <v>0</v>
      </c>
      <c r="F30" s="91">
        <f>IF(LEFT($A$22,5)="blank",0,VLOOKUP($B$2,'Input General'!$A$262:$H$266,COLUMN('Input General'!F262),FALSE)*'Input Global'!F$19)</f>
        <v>0</v>
      </c>
      <c r="G30" s="91">
        <f>IF(LEFT($A$22,5)="blank",0,VLOOKUP($B$2,'Input General'!$A$262:$H$266,COLUMN('Input General'!G262),FALSE)*'Input Global'!G$19)</f>
        <v>0</v>
      </c>
      <c r="H30" s="91">
        <f>IF(LEFT($A$22,5)="blank",0,VLOOKUP($B$2,'Input General'!$A$262:$H$266,COLUMN('Input General'!H262),FALSE)*'Input Global'!H$19)</f>
        <v>0</v>
      </c>
      <c r="I30" s="18"/>
    </row>
    <row r="31" spans="1:13" hidden="1" x14ac:dyDescent="0.3">
      <c r="A31" s="6" t="str">
        <f t="shared" si="1"/>
        <v>Large Scale Renewable Energy Target</v>
      </c>
      <c r="B31" s="4" t="s">
        <v>37</v>
      </c>
      <c r="C31" s="4" t="s">
        <v>57</v>
      </c>
      <c r="D31" s="91">
        <f>IF(LEFT($A$22,5)="blank",0,VLOOKUP($B$2,'Input General'!$A325:$H330,COLUMN(D16),FALSE)*'Input Global'!D19)</f>
        <v>0</v>
      </c>
      <c r="E31" s="91">
        <f>IF(LEFT($A$22,5)="blank",0,VLOOKUP($B$2,'Input General'!$A325:$H330,COLUMN(E16),FALSE)*'Input Global'!E19)</f>
        <v>0</v>
      </c>
      <c r="F31" s="91">
        <f>IF(LEFT($A$22,5)="blank",0,VLOOKUP($B$2,'Input General'!$A325:$H330,COLUMN(F16),FALSE)*'Input Global'!F19)</f>
        <v>0</v>
      </c>
      <c r="G31" s="91">
        <f>IF(LEFT($A$22,5)="blank",0,VLOOKUP($B$2,'Input General'!$A325:$H330,COLUMN(G16),FALSE)*'Input Global'!G19)</f>
        <v>0</v>
      </c>
      <c r="H31" s="91">
        <f>IF(LEFT($A$22,5)="blank",0,VLOOKUP($B$2,'Input General'!$A325:$H330,COLUMN(H16),FALSE)*'Input Global'!H19)</f>
        <v>0</v>
      </c>
      <c r="I31" s="18"/>
    </row>
    <row r="32" spans="1:13" hidden="1" x14ac:dyDescent="0.3">
      <c r="A32" s="6" t="str">
        <f t="shared" si="1"/>
        <v>Small Scale Renewable Energy Scheme</v>
      </c>
      <c r="B32" s="4" t="s">
        <v>37</v>
      </c>
      <c r="C32" s="4" t="s">
        <v>57</v>
      </c>
      <c r="D32" s="91">
        <f>IF(LEFT($A$22,5)="blank",0,'Input General'!D143*'Input Global'!D$19)</f>
        <v>0</v>
      </c>
      <c r="E32" s="91">
        <f>IF(LEFT($A$22,5)="blank",0,'Input General'!E143*'Input Global'!E$19)</f>
        <v>0</v>
      </c>
      <c r="F32" s="91">
        <f>IF(LEFT($A$22,5)="blank",0,'Input General'!F143*'Input Global'!F$19)</f>
        <v>0</v>
      </c>
      <c r="G32" s="91">
        <f>IF(LEFT($A$22,5)="blank",0,'Input General'!G143*'Input Global'!G$19)</f>
        <v>0</v>
      </c>
      <c r="H32" s="91">
        <f>IF(LEFT($A$22,5)="blank",0,'Input General'!H143*'Input Global'!H$19)</f>
        <v>0</v>
      </c>
      <c r="I32" s="18"/>
    </row>
    <row r="33" spans="1:9" hidden="1" x14ac:dyDescent="0.3">
      <c r="A33" s="6" t="str">
        <f t="shared" si="1"/>
        <v>blank</v>
      </c>
      <c r="B33" s="4" t="s">
        <v>37</v>
      </c>
      <c r="C33" s="4" t="s">
        <v>57</v>
      </c>
      <c r="D33" s="91">
        <f>IF(LEFT($A$22,5)="blank",0,VLOOKUP($B$2,'Input General'!$A$165:$H$169,COLUMN(D33),FALSE)*'Input Global'!D$19)</f>
        <v>0</v>
      </c>
      <c r="E33" s="91">
        <f>IF(LEFT($A$22,5)="blank",0,VLOOKUP($B$2,'Input General'!$A$165:$H$169,COLUMN(E33),FALSE)*'Input Global'!E$19)</f>
        <v>0</v>
      </c>
      <c r="F33" s="91">
        <f>IF(LEFT($A$22,5)="blank",0,VLOOKUP($B$2,'Input General'!$A$165:$H$169,COLUMN(F33),FALSE)*'Input Global'!F$19)</f>
        <v>0</v>
      </c>
      <c r="G33" s="91">
        <f>IF(LEFT($A$22,5)="blank",0,VLOOKUP($B$2,'Input General'!$A$165:$H$169,COLUMN(G33),FALSE)*'Input Global'!G$19)</f>
        <v>0</v>
      </c>
      <c r="H33" s="91">
        <f>IF(LEFT($A$22,5)="blank",0,VLOOKUP($B$2,'Input General'!$A$165:$H$169,COLUMN(H33),FALSE)*'Input Global'!H$19)</f>
        <v>0</v>
      </c>
      <c r="I33" s="18"/>
    </row>
    <row r="34" spans="1:9" hidden="1" x14ac:dyDescent="0.3">
      <c r="A34" s="6" t="str">
        <f t="shared" si="1"/>
        <v>blank</v>
      </c>
      <c r="B34" s="4" t="s">
        <v>37</v>
      </c>
      <c r="C34" s="4" t="s">
        <v>57</v>
      </c>
      <c r="D34" s="91">
        <f>IF(LEFT($A$22,5)="blank",0,VLOOKUP($B$2,'Input General'!$A$197:$H$201,COLUMN(D34),FALSE)*'Input Global'!D$19)</f>
        <v>0</v>
      </c>
      <c r="E34" s="91">
        <f>IF(LEFT($A$22,5)="blank",0,VLOOKUP($B$2,'Input General'!$A$197:$H$201,COLUMN(E34),FALSE)*'Input Global'!E$19)</f>
        <v>0</v>
      </c>
      <c r="F34" s="91">
        <f>IF(LEFT($A$22,5)="blank",0,VLOOKUP($B$2,'Input General'!$A$197:$H$201,COLUMN(F34),FALSE)*'Input Global'!F$19)</f>
        <v>0</v>
      </c>
      <c r="G34" s="91">
        <f>IF(LEFT($A$22,5)="blank",0,VLOOKUP($B$2,'Input General'!$A$197:$H$201,COLUMN(G34),FALSE)*'Input Global'!G$19)</f>
        <v>0</v>
      </c>
      <c r="H34" s="91">
        <f>IF(LEFT($A$22,5)="blank",0,VLOOKUP($B$2,'Input General'!$A$197:$H$201,COLUMN(H34),FALSE)*'Input Global'!H$19)</f>
        <v>0</v>
      </c>
      <c r="I34" s="18"/>
    </row>
    <row r="35" spans="1:9" hidden="1" x14ac:dyDescent="0.3">
      <c r="A35" s="7" t="s">
        <v>55</v>
      </c>
      <c r="B35" s="7" t="s">
        <v>37</v>
      </c>
      <c r="C35" s="7" t="s">
        <v>57</v>
      </c>
      <c r="D35" s="91">
        <f>SUM(D23:D34)</f>
        <v>0</v>
      </c>
      <c r="E35" s="91">
        <f t="shared" ref="E35:H35" si="2">SUM(E23:E34)</f>
        <v>0</v>
      </c>
      <c r="F35" s="91">
        <f t="shared" si="2"/>
        <v>0</v>
      </c>
      <c r="G35" s="91">
        <f t="shared" si="2"/>
        <v>0</v>
      </c>
      <c r="H35" s="91">
        <f t="shared" si="2"/>
        <v>0</v>
      </c>
    </row>
    <row r="36" spans="1:9" hidden="1" x14ac:dyDescent="0.3">
      <c r="A36" s="118"/>
      <c r="B36" s="118"/>
      <c r="C36" s="118"/>
      <c r="D36" s="119"/>
      <c r="E36" s="119"/>
      <c r="F36" s="119"/>
      <c r="G36" s="119"/>
      <c r="H36" s="119"/>
    </row>
    <row r="37" spans="1:9" hidden="1" x14ac:dyDescent="0.3">
      <c r="A37" s="5" t="str">
        <f>Dist3</f>
        <v>blank</v>
      </c>
    </row>
    <row r="38" spans="1:9" hidden="1" x14ac:dyDescent="0.3">
      <c r="A38" s="4" t="str">
        <f>A23</f>
        <v>Wholesale</v>
      </c>
      <c r="B38" s="4" t="s">
        <v>37</v>
      </c>
      <c r="C38" s="4" t="s">
        <v>57</v>
      </c>
      <c r="D38" s="91">
        <f>IF(LEFT($A$37,5)="blank",0,VLOOKUP($B$2,dist3wholesale,COLUMN(D38),FALSE)*'Input Global'!D20)</f>
        <v>0</v>
      </c>
      <c r="E38" s="91">
        <f>IF(LEFT($A$37,5)="blank",0,VLOOKUP($B$2,dist3wholesale,COLUMN(E38),FALSE)*'Input Global'!E20)</f>
        <v>0</v>
      </c>
      <c r="F38" s="91">
        <f>IF(LEFT($A$37,5)="blank",0,VLOOKUP($B$2,dist3wholesale,COLUMN(F38),FALSE)*'Input Global'!F20)</f>
        <v>0</v>
      </c>
      <c r="G38" s="91">
        <f>IF(LEFT($A$37,5)="blank",0,VLOOKUP($B$2,dist3wholesale,COLUMN(G38),FALSE)*'Input Global'!G20)</f>
        <v>0</v>
      </c>
      <c r="H38" s="91">
        <f>IF(LEFT($A$37,5)="blank",0,VLOOKUP($B$2,dist3wholesale,COLUMN(H38),FALSE)*'Input Global'!H20)</f>
        <v>0</v>
      </c>
    </row>
    <row r="39" spans="1:9" hidden="1" x14ac:dyDescent="0.3">
      <c r="A39" s="4" t="str">
        <f t="shared" ref="A39:A49" si="3">A24</f>
        <v>Transmission</v>
      </c>
      <c r="B39" s="4" t="s">
        <v>37</v>
      </c>
      <c r="C39" s="4" t="s">
        <v>57</v>
      </c>
      <c r="D39" s="91">
        <f>IF(LEFT($A$37,5)="blank",0,'Input General'!D20+(SUMPRODUCT('Input General'!D21:D24,'Input General'!D121:D124)*'Input Global'!D$20))</f>
        <v>0</v>
      </c>
      <c r="E39" s="91">
        <f>IF(LEFT($A$37,5)="blank",0,'Input General'!E20+(SUMPRODUCT('Input General'!E21:E24,'Input General'!E121:E124)*'Input Global'!E$20))</f>
        <v>0</v>
      </c>
      <c r="F39" s="91">
        <f>IF(LEFT($A$37,5)="blank",0,'Input General'!F20+(SUMPRODUCT('Input General'!F21:F24,'Input General'!F121:F124)*'Input Global'!F$20))</f>
        <v>0</v>
      </c>
      <c r="G39" s="91">
        <f>IF(LEFT($A$37,5)="blank",0,'Input General'!G20+(SUMPRODUCT('Input General'!G21:G24,'Input General'!G121:G124)*'Input Global'!G$20))</f>
        <v>0</v>
      </c>
      <c r="H39" s="91">
        <f>IF(LEFT($A$37,5)="blank",0,'Input General'!H20+(SUMPRODUCT('Input General'!H21:H24,'Input General'!H121:H124)*'Input Global'!H$20))</f>
        <v>0</v>
      </c>
    </row>
    <row r="40" spans="1:9" hidden="1" x14ac:dyDescent="0.3">
      <c r="A40" s="4" t="str">
        <f t="shared" si="3"/>
        <v>Distribution</v>
      </c>
      <c r="B40" s="4" t="s">
        <v>37</v>
      </c>
      <c r="C40" s="4" t="s">
        <v>57</v>
      </c>
      <c r="D40" s="91">
        <f>IF(LEFT($A$37,5)="blank",0,'Input General'!D52+SUMPRODUCT('Input General'!D53:D56,'Input General'!D121:D124)*'Input Global'!D$20+'Input General'!D73)</f>
        <v>0</v>
      </c>
      <c r="E40" s="91">
        <f>IF(LEFT($A$37,5)="blank",0,'Input General'!E52+SUMPRODUCT('Input General'!E53:E56,'Input General'!E121:E124)*'Input Global'!E$20+'Input General'!E73)</f>
        <v>0</v>
      </c>
      <c r="F40" s="91">
        <f>IF(LEFT($A$37,5)="blank",0,'Input General'!F52+SUMPRODUCT('Input General'!F53:F56,'Input General'!F121:F124)*'Input Global'!F$20+'Input General'!F73)</f>
        <v>0</v>
      </c>
      <c r="G40" s="91">
        <f>IF(LEFT($A$37,5)="blank",0,'Input General'!G52+SUMPRODUCT('Input General'!G53:G56,'Input General'!G121:G124)*'Input Global'!G$20+'Input General'!G73)</f>
        <v>0</v>
      </c>
      <c r="H40" s="91">
        <f>IF(LEFT($A$37,5)="blank",0,'Input General'!H52+SUMPRODUCT('Input General'!H53:H56,'Input General'!H121:H124)*'Input Global'!H$20+'Input General'!H73)</f>
        <v>0</v>
      </c>
    </row>
    <row r="41" spans="1:9" hidden="1" x14ac:dyDescent="0.3">
      <c r="A41" s="4" t="str">
        <f t="shared" si="3"/>
        <v>Retail</v>
      </c>
      <c r="B41" s="4" t="s">
        <v>37</v>
      </c>
      <c r="C41" s="4" t="s">
        <v>57</v>
      </c>
      <c r="D41" s="91">
        <f>IF(LEFT($A$37,5)="blank",0,'Input General'!D146*'Input Global'!D$20)</f>
        <v>0</v>
      </c>
      <c r="E41" s="91">
        <f>IF(LEFT($A$37,5)="blank",0,'Input General'!E146*'Input Global'!E$20)</f>
        <v>0</v>
      </c>
      <c r="F41" s="91">
        <f>IF(LEFT($A$37,5)="blank",0,'Input General'!F146*'Input Global'!F$20)</f>
        <v>0</v>
      </c>
      <c r="G41" s="91">
        <f>IF(LEFT($A$37,5)="blank",0,'Input General'!G146*'Input Global'!G$20)</f>
        <v>0</v>
      </c>
      <c r="H41" s="91">
        <f>IF(LEFT($A$37,5)="blank",0,'Input General'!H146*'Input Global'!H$20)</f>
        <v>0</v>
      </c>
    </row>
    <row r="42" spans="1:9" hidden="1" x14ac:dyDescent="0.3">
      <c r="A42" s="4" t="str">
        <f t="shared" si="3"/>
        <v>Retail and Residual</v>
      </c>
      <c r="B42" s="4" t="s">
        <v>37</v>
      </c>
      <c r="C42" s="4" t="s">
        <v>57</v>
      </c>
      <c r="D42" s="91">
        <f>IF(LEFT($A$37,5)="blank",0,VLOOKUP($B$2,'Input General'!$A$235:$H$239,COLUMN(D27),FALSE)*'Input Global'!D$35)</f>
        <v>0</v>
      </c>
      <c r="E42" s="91">
        <f>IF(LEFT($A$37,5)="blank",0,VLOOKUP($B$2,'Input General'!$A$235:$H$239,COLUMN(E27),FALSE)*'Input Global'!E$35)</f>
        <v>0</v>
      </c>
      <c r="F42" s="91">
        <f>IF(LEFT($A$37,5)="blank",0,VLOOKUP($B$2,'Input General'!$A$235:$H$239,COLUMN(F27),FALSE)*'Input Global'!F$35)</f>
        <v>0</v>
      </c>
      <c r="G42" s="91">
        <f>IF(LEFT($A$37,5)="blank",0,VLOOKUP($B$2,'Input General'!$A$235:$H$239,COLUMN(G27),FALSE)*'Input Global'!G$35)</f>
        <v>0</v>
      </c>
      <c r="H42" s="91">
        <f>IF(LEFT($A$37,5)="blank",0,VLOOKUP($B$2,'Input General'!$A$235:$H$239,COLUMN(H27),FALSE)*'Input Global'!H$35)</f>
        <v>0</v>
      </c>
    </row>
    <row r="43" spans="1:9" hidden="1" x14ac:dyDescent="0.3">
      <c r="A43" s="4" t="str">
        <f t="shared" si="3"/>
        <v>Green Schemes</v>
      </c>
      <c r="D43" s="86"/>
      <c r="E43" s="86"/>
      <c r="F43" s="86"/>
      <c r="G43" s="86"/>
      <c r="H43" s="86"/>
    </row>
    <row r="44" spans="1:9" hidden="1" x14ac:dyDescent="0.3">
      <c r="A44" s="6" t="str">
        <f t="shared" si="3"/>
        <v>Feed-in Tariffs</v>
      </c>
      <c r="B44" s="4" t="s">
        <v>37</v>
      </c>
      <c r="C44" s="4" t="s">
        <v>57</v>
      </c>
      <c r="D44" s="91">
        <f>IF(LEFT($A$37,5)="blank",0,'Input General'!D91+SUMPRODUCT('Input General'!D92:D95,'Input General'!D121:D124)*'Input Global'!D$20)</f>
        <v>0</v>
      </c>
      <c r="E44" s="91">
        <f>IF(LEFT($A$37,5)="blank",0,'Input General'!E91+SUMPRODUCT('Input General'!E92:E95,'Input General'!E121:E124)*'Input Global'!E$20)</f>
        <v>0</v>
      </c>
      <c r="F44" s="91">
        <f>IF(LEFT($A$37,5)="blank",0,'Input General'!F91+SUMPRODUCT('Input General'!F92:F95,'Input General'!F121:F124)*'Input Global'!F$20)</f>
        <v>0</v>
      </c>
      <c r="G44" s="91">
        <f>IF(LEFT($A$37,5)="blank",0,'Input General'!G91+SUMPRODUCT('Input General'!G92:G95,'Input General'!G121:G124)*'Input Global'!G$20)</f>
        <v>0</v>
      </c>
      <c r="H44" s="91">
        <f>IF(LEFT($A$37,5)="blank",0,'Input General'!H91+SUMPRODUCT('Input General'!H92:H95,'Input General'!H121:H124)*'Input Global'!H$20)</f>
        <v>0</v>
      </c>
    </row>
    <row r="45" spans="1:9" hidden="1" x14ac:dyDescent="0.3">
      <c r="A45" s="6" t="str">
        <f t="shared" si="3"/>
        <v>Carbon costs</v>
      </c>
      <c r="B45" s="4" t="s">
        <v>37</v>
      </c>
      <c r="C45" s="4" t="s">
        <v>57</v>
      </c>
      <c r="D45" s="91">
        <f>IF(LEFT($A$37,5)="blank",0,VLOOKUP($B$2,'Input General'!$A$268:$H$272,COLUMN('Input General'!D268),FALSE)*'Input Global'!D$20)</f>
        <v>0</v>
      </c>
      <c r="E45" s="91">
        <f>IF(LEFT($A$37,5)="blank",0,VLOOKUP($B$2,'Input General'!$A$268:$H$272,COLUMN('Input General'!E268),FALSE)*'Input Global'!E$20)</f>
        <v>0</v>
      </c>
      <c r="F45" s="91">
        <f>IF(LEFT($A$37,5)="blank",0,VLOOKUP($B$2,'Input General'!$A$268:$H$272,COLUMN('Input General'!F268),FALSE)*'Input Global'!F$20)</f>
        <v>0</v>
      </c>
      <c r="G45" s="91">
        <f>IF(LEFT($A$37,5)="blank",0,VLOOKUP($B$2,'Input General'!$A$268:$H$272,COLUMN('Input General'!G268),FALSE)*'Input Global'!G$20)</f>
        <v>0</v>
      </c>
      <c r="H45" s="91">
        <f>IF(LEFT($A$37,5)="blank",0,VLOOKUP($B$2,'Input General'!$A$268:$H$272,COLUMN('Input General'!H268),FALSE)*'Input Global'!H$20)</f>
        <v>0</v>
      </c>
    </row>
    <row r="46" spans="1:9" hidden="1" x14ac:dyDescent="0.3">
      <c r="A46" s="6" t="str">
        <f t="shared" si="3"/>
        <v>Large Scale Renewable Energy Target</v>
      </c>
      <c r="B46" s="4" t="s">
        <v>37</v>
      </c>
      <c r="C46" s="4" t="s">
        <v>57</v>
      </c>
      <c r="D46" s="91">
        <f>IF(LEFT($A$37,5)="blank",0,VLOOKUP($B$2,'Input General'!$A331:$H336,COLUMN(D16),FALSE)*'Input Global'!D20)</f>
        <v>0</v>
      </c>
      <c r="E46" s="91">
        <f>IF(LEFT($A$37,5)="blank",0,VLOOKUP($B$2,'Input General'!$A331:$H336,COLUMN(E16),FALSE)*'Input Global'!E20)</f>
        <v>0</v>
      </c>
      <c r="F46" s="91">
        <f>IF(LEFT($A$37,5)="blank",0,VLOOKUP($B$2,'Input General'!$A331:$H336,COLUMN(F16),FALSE)*'Input Global'!F20)</f>
        <v>0</v>
      </c>
      <c r="G46" s="91">
        <f>IF(LEFT($A$37,5)="blank",0,VLOOKUP($B$2,'Input General'!$A331:$H336,COLUMN(G16),FALSE)*'Input Global'!G20)</f>
        <v>0</v>
      </c>
      <c r="H46" s="91">
        <f>IF(LEFT($A$37,5)="blank",0,VLOOKUP($B$2,'Input General'!$A331:$H336,COLUMN(H16),FALSE)*'Input Global'!H20)</f>
        <v>0</v>
      </c>
    </row>
    <row r="47" spans="1:9" hidden="1" x14ac:dyDescent="0.3">
      <c r="A47" s="6" t="str">
        <f t="shared" si="3"/>
        <v>Small Scale Renewable Energy Scheme</v>
      </c>
      <c r="B47" s="4" t="s">
        <v>37</v>
      </c>
      <c r="C47" s="4" t="s">
        <v>57</v>
      </c>
      <c r="D47" s="91">
        <f>IF(LEFT($A$37,5)="blank",0,'Input General'!D147*'Input Global'!D$20)</f>
        <v>0</v>
      </c>
      <c r="E47" s="91">
        <f>IF(LEFT($A$37,5)="blank",0,'Input General'!E147*'Input Global'!E$20)</f>
        <v>0</v>
      </c>
      <c r="F47" s="91">
        <f>IF(LEFT($A$37,5)="blank",0,'Input General'!F147*'Input Global'!F$20)</f>
        <v>0</v>
      </c>
      <c r="G47" s="91">
        <f>IF(LEFT($A$37,5)="blank",0,'Input General'!G147*'Input Global'!G$20)</f>
        <v>0</v>
      </c>
      <c r="H47" s="91">
        <f>IF(LEFT($A$37,5)="blank",0,'Input General'!H147*'Input Global'!H$20)</f>
        <v>0</v>
      </c>
    </row>
    <row r="48" spans="1:9" hidden="1" x14ac:dyDescent="0.3">
      <c r="A48" s="6" t="str">
        <f t="shared" si="3"/>
        <v>blank</v>
      </c>
      <c r="B48" s="4" t="s">
        <v>37</v>
      </c>
      <c r="C48" s="4" t="s">
        <v>57</v>
      </c>
      <c r="D48" s="91">
        <f>IF(LEFT($A$37,5)="blank",0,VLOOKUP($B$2,'Input General'!$A$171:$H$175,COLUMN(D33),FALSE)*'Input Global'!D$20)</f>
        <v>0</v>
      </c>
      <c r="E48" s="91">
        <f>IF(LEFT($A$37,5)="blank",0,VLOOKUP($B$2,'Input General'!$A$171:$H$175,COLUMN(E33),FALSE)*'Input Global'!E$20)</f>
        <v>0</v>
      </c>
      <c r="F48" s="91">
        <f>IF(LEFT($A$37,5)="blank",0,VLOOKUP($B$2,'Input General'!$A$171:$H$175,COLUMN(F33),FALSE)*'Input Global'!F$20)</f>
        <v>0</v>
      </c>
      <c r="G48" s="91">
        <f>IF(LEFT($A$37,5)="blank",0,VLOOKUP($B$2,'Input General'!$A$171:$H$175,COLUMN(G33),FALSE)*'Input Global'!G$20)</f>
        <v>0</v>
      </c>
      <c r="H48" s="91">
        <f>IF(LEFT($A$37,5)="blank",0,VLOOKUP($B$2,'Input General'!$A$171:$H$175,COLUMN(H33),FALSE)*'Input Global'!H$20)</f>
        <v>0</v>
      </c>
    </row>
    <row r="49" spans="1:8" hidden="1" x14ac:dyDescent="0.3">
      <c r="A49" s="6" t="str">
        <f t="shared" si="3"/>
        <v>blank</v>
      </c>
      <c r="B49" s="4" t="s">
        <v>37</v>
      </c>
      <c r="C49" s="4" t="s">
        <v>57</v>
      </c>
      <c r="D49" s="91">
        <f>IF(LEFT($A$37,5)="blank",0,VLOOKUP($B$2,'Input General'!$A$203:$H$207,COLUMN(D49),FALSE)*'Input Global'!D$20)</f>
        <v>0</v>
      </c>
      <c r="E49" s="91">
        <f>IF(LEFT($A$37,5)="blank",0,VLOOKUP($B$2,'Input General'!$A$203:$H$207,COLUMN(E49),FALSE)*'Input Global'!E$20)</f>
        <v>0</v>
      </c>
      <c r="F49" s="91">
        <f>IF(LEFT($A$37,5)="blank",0,VLOOKUP($B$2,'Input General'!$A$203:$H$207,COLUMN(F49),FALSE)*'Input Global'!F$20)</f>
        <v>0</v>
      </c>
      <c r="G49" s="91">
        <f>IF(LEFT($A$37,5)="blank",0,VLOOKUP($B$2,'Input General'!$A$203:$H$207,COLUMN(G49),FALSE)*'Input Global'!G$20)</f>
        <v>0</v>
      </c>
      <c r="H49" s="91">
        <f>IF(LEFT($A$37,5)="blank",0,VLOOKUP($B$2,'Input General'!$A$203:$H$207,COLUMN(H49),FALSE)*'Input Global'!H$20)</f>
        <v>0</v>
      </c>
    </row>
    <row r="50" spans="1:8" hidden="1" x14ac:dyDescent="0.3">
      <c r="A50" s="7" t="s">
        <v>55</v>
      </c>
      <c r="B50" s="7" t="s">
        <v>37</v>
      </c>
      <c r="C50" s="7" t="s">
        <v>57</v>
      </c>
      <c r="D50" s="91">
        <f>SUM(D38:D49)</f>
        <v>0</v>
      </c>
      <c r="E50" s="91">
        <f t="shared" ref="E50:H50" si="4">SUM(E38:E49)</f>
        <v>0</v>
      </c>
      <c r="F50" s="91">
        <f t="shared" si="4"/>
        <v>0</v>
      </c>
      <c r="G50" s="91">
        <f t="shared" si="4"/>
        <v>0</v>
      </c>
      <c r="H50" s="91">
        <f t="shared" si="4"/>
        <v>0</v>
      </c>
    </row>
    <row r="51" spans="1:8" hidden="1" x14ac:dyDescent="0.3">
      <c r="A51" s="118"/>
      <c r="B51" s="118"/>
      <c r="C51" s="118"/>
      <c r="D51" s="119"/>
      <c r="E51" s="119"/>
      <c r="F51" s="119"/>
      <c r="G51" s="119"/>
      <c r="H51" s="119"/>
    </row>
    <row r="52" spans="1:8" hidden="1" x14ac:dyDescent="0.3">
      <c r="A52" s="5" t="str">
        <f>Dist4</f>
        <v>blank</v>
      </c>
    </row>
    <row r="53" spans="1:8" hidden="1" x14ac:dyDescent="0.3">
      <c r="A53" s="4" t="str">
        <f>A38</f>
        <v>Wholesale</v>
      </c>
      <c r="B53" s="4" t="s">
        <v>37</v>
      </c>
      <c r="C53" s="4" t="s">
        <v>57</v>
      </c>
      <c r="D53" s="91">
        <f>IF(LEFT($A$52,5)="blank",0,VLOOKUP($B$2,dist4wholesale,COLUMN(D53),FALSE)*'Input Global'!D21)</f>
        <v>0</v>
      </c>
      <c r="E53" s="91">
        <f>IF(LEFT($A$52,5)="blank",0,VLOOKUP($B$2,dist4wholesale,COLUMN(E53),FALSE)*'Input Global'!E21)</f>
        <v>0</v>
      </c>
      <c r="F53" s="91">
        <f>IF(LEFT($A$52,5)="blank",0,VLOOKUP($B$2,dist4wholesale,COLUMN(F53),FALSE)*'Input Global'!F21)</f>
        <v>0</v>
      </c>
      <c r="G53" s="91">
        <f>IF(LEFT($A$52,5)="blank",0,VLOOKUP($B$2,dist4wholesale,COLUMN(G53),FALSE)*'Input Global'!G21)</f>
        <v>0</v>
      </c>
      <c r="H53" s="91">
        <f>IF(LEFT($A$52,5)="blank",0,VLOOKUP($B$2,dist4wholesale,COLUMN(H53),FALSE)*'Input Global'!H21)</f>
        <v>0</v>
      </c>
    </row>
    <row r="54" spans="1:8" hidden="1" x14ac:dyDescent="0.3">
      <c r="A54" s="4" t="str">
        <f t="shared" ref="A54:A64" si="5">A39</f>
        <v>Transmission</v>
      </c>
      <c r="B54" s="4" t="s">
        <v>37</v>
      </c>
      <c r="C54" s="4" t="s">
        <v>57</v>
      </c>
      <c r="D54" s="91">
        <f>IF(LEFT($A$52,5)="blank",0,'Input General'!D26+(SUMPRODUCT('Input General'!D27:D30,'Input General'!D126:D129)*'Input Global'!D$21))</f>
        <v>0</v>
      </c>
      <c r="E54" s="91">
        <f>IF(LEFT($A$52,5)="blank",0,'Input General'!E26+(SUMPRODUCT('Input General'!E27:E30,'Input General'!E126:E129)*'Input Global'!E$21))</f>
        <v>0</v>
      </c>
      <c r="F54" s="91">
        <f>IF(LEFT($A$52,5)="blank",0,'Input General'!F26+(SUMPRODUCT('Input General'!F27:F30,'Input General'!F126:F129)*'Input Global'!F$21))</f>
        <v>0</v>
      </c>
      <c r="G54" s="91">
        <f>IF(LEFT($A$52,5)="blank",0,'Input General'!G26+(SUMPRODUCT('Input General'!G27:G30,'Input General'!G126:G129)*'Input Global'!G$21))</f>
        <v>0</v>
      </c>
      <c r="H54" s="91">
        <f>IF(LEFT($A$52,5)="blank",0,'Input General'!H26+(SUMPRODUCT('Input General'!H27:H30,'Input General'!H126:H129)*'Input Global'!H$21))</f>
        <v>0</v>
      </c>
    </row>
    <row r="55" spans="1:8" hidden="1" x14ac:dyDescent="0.3">
      <c r="A55" s="4" t="str">
        <f t="shared" si="5"/>
        <v>Distribution</v>
      </c>
      <c r="B55" s="4" t="s">
        <v>37</v>
      </c>
      <c r="C55" s="4" t="s">
        <v>57</v>
      </c>
      <c r="D55" s="91">
        <f>IF(LEFT($A$52,5)="blank",0,'Input General'!D58+SUMPRODUCT('Input General'!D59:D62,'Input General'!D126:D129)*'Input Global'!D$21+'Input General'!D74)</f>
        <v>0</v>
      </c>
      <c r="E55" s="91">
        <f>IF(LEFT($A$52,5)="blank",0,'Input General'!E58+SUMPRODUCT('Input General'!E59:E62,'Input General'!E126:E129)*'Input Global'!E$21+'Input General'!E74)</f>
        <v>0</v>
      </c>
      <c r="F55" s="91">
        <f>IF(LEFT($A$52,5)="blank",0,'Input General'!F58+SUMPRODUCT('Input General'!F59:F62,'Input General'!F126:F129)*'Input Global'!F$21+'Input General'!F74)</f>
        <v>0</v>
      </c>
      <c r="G55" s="91">
        <f>IF(LEFT($A$52,5)="blank",0,'Input General'!G58+SUMPRODUCT('Input General'!G59:G62,'Input General'!G126:G129)*'Input Global'!G$21+'Input General'!G74)</f>
        <v>0</v>
      </c>
      <c r="H55" s="91">
        <f>IF(LEFT($A$52,5)="blank",0,'Input General'!H58+SUMPRODUCT('Input General'!H59:H62,'Input General'!H126:H129)*'Input Global'!H$21+'Input General'!H74)</f>
        <v>0</v>
      </c>
    </row>
    <row r="56" spans="1:8" hidden="1" x14ac:dyDescent="0.3">
      <c r="A56" s="4" t="str">
        <f t="shared" si="5"/>
        <v>Retail</v>
      </c>
      <c r="B56" s="4" t="s">
        <v>37</v>
      </c>
      <c r="C56" s="4" t="s">
        <v>57</v>
      </c>
      <c r="D56" s="91">
        <f>IF(LEFT($A$52,5)="blank",0,'Input General'!D150*'Input Global'!D$21)</f>
        <v>0</v>
      </c>
      <c r="E56" s="91">
        <f>IF(LEFT($A$52,5)="blank",0,'Input General'!E150*'Input Global'!E$21)</f>
        <v>0</v>
      </c>
      <c r="F56" s="91">
        <f>IF(LEFT($A$52,5)="blank",0,'Input General'!F150*'Input Global'!F$21)</f>
        <v>0</v>
      </c>
      <c r="G56" s="91">
        <f>IF(LEFT($A$52,5)="blank",0,'Input General'!G150*'Input Global'!G$21)</f>
        <v>0</v>
      </c>
      <c r="H56" s="91">
        <f>IF(LEFT($A$52,5)="blank",0,'Input General'!H150*'Input Global'!H$21)</f>
        <v>0</v>
      </c>
    </row>
    <row r="57" spans="1:8" hidden="1" x14ac:dyDescent="0.3">
      <c r="A57" s="4" t="str">
        <f t="shared" si="5"/>
        <v>Retail and Residual</v>
      </c>
      <c r="B57" s="4" t="s">
        <v>37</v>
      </c>
      <c r="C57" s="4" t="s">
        <v>57</v>
      </c>
      <c r="D57" s="91">
        <f>IF(LEFT($A$52,5)="blank",0,VLOOKUP($B$2,'Input General'!$A$241:$H$245,COLUMN(D57),FALSE)*'Input Global'!D$36)</f>
        <v>0</v>
      </c>
      <c r="E57" s="91">
        <f>IF(LEFT($A$52,5)="blank",0,VLOOKUP($B$2,'Input General'!$A$241:$H$245,COLUMN(E57),FALSE)*'Input Global'!E$36)</f>
        <v>0</v>
      </c>
      <c r="F57" s="91">
        <f>IF(LEFT($A$52,5)="blank",0,VLOOKUP($B$2,'Input General'!$A$241:$H$245,COLUMN(F57),FALSE)*'Input Global'!F$36)</f>
        <v>0</v>
      </c>
      <c r="G57" s="91">
        <f>IF(LEFT($A$52,5)="blank",0,VLOOKUP($B$2,'Input General'!$A$241:$H$245,COLUMN(G57),FALSE)*'Input Global'!G$36)</f>
        <v>0</v>
      </c>
      <c r="H57" s="91">
        <f>IF(LEFT($A$52,5)="blank",0,VLOOKUP($B$2,'Input General'!$A$241:$H$245,COLUMN(H57),FALSE)*'Input Global'!H$36)</f>
        <v>0</v>
      </c>
    </row>
    <row r="58" spans="1:8" hidden="1" x14ac:dyDescent="0.3">
      <c r="A58" s="4" t="str">
        <f t="shared" si="5"/>
        <v>Green Schemes</v>
      </c>
      <c r="D58" s="86"/>
      <c r="E58" s="86"/>
      <c r="F58" s="86"/>
      <c r="G58" s="86"/>
      <c r="H58" s="86"/>
    </row>
    <row r="59" spans="1:8" hidden="1" x14ac:dyDescent="0.3">
      <c r="A59" s="6" t="str">
        <f t="shared" si="5"/>
        <v>Feed-in Tariffs</v>
      </c>
      <c r="B59" s="4" t="s">
        <v>37</v>
      </c>
      <c r="C59" s="4" t="s">
        <v>57</v>
      </c>
      <c r="D59" s="91">
        <f>IF(LEFT($A$52,5)="blank",0,'Input General'!D97+SUMPRODUCT('Input General'!D98:D101,'Input General'!D126:D129)*'Input Global'!D$21)</f>
        <v>0</v>
      </c>
      <c r="E59" s="91">
        <f>IF(LEFT($A$52,5)="blank",0,'Input General'!E97+SUMPRODUCT('Input General'!E98:E101,'Input General'!E126:E129)*'Input Global'!E$21)</f>
        <v>0</v>
      </c>
      <c r="F59" s="91">
        <f>IF(LEFT($A$52,5)="blank",0,'Input General'!F97+SUMPRODUCT('Input General'!F98:F101,'Input General'!F126:F129)*'Input Global'!F$21)</f>
        <v>0</v>
      </c>
      <c r="G59" s="91">
        <f>IF(LEFT($A$52,5)="blank",0,'Input General'!G97+SUMPRODUCT('Input General'!G98:G101,'Input General'!G126:G129)*'Input Global'!G$21)</f>
        <v>0</v>
      </c>
      <c r="H59" s="91">
        <f>IF(LEFT($A$52,5)="blank",0,'Input General'!H97+SUMPRODUCT('Input General'!H98:H101,'Input General'!H126:H129)*'Input Global'!H$21)</f>
        <v>0</v>
      </c>
    </row>
    <row r="60" spans="1:8" hidden="1" x14ac:dyDescent="0.3">
      <c r="A60" s="6" t="str">
        <f t="shared" si="5"/>
        <v>Carbon costs</v>
      </c>
      <c r="B60" s="4" t="s">
        <v>37</v>
      </c>
      <c r="C60" s="4" t="s">
        <v>57</v>
      </c>
      <c r="D60" s="91">
        <f>IF(LEFT($A$52,5)="blank",0,VLOOKUP($B$2,'Input General'!$A$274:$H$278,COLUMN(D60),FALSE)*'Input Global'!D$21)</f>
        <v>0</v>
      </c>
      <c r="E60" s="91">
        <f>IF(LEFT($A$52,5)="blank",0,VLOOKUP($B$2,'Input General'!$A$274:$H$278,COLUMN(E60),FALSE)*'Input Global'!E$21)</f>
        <v>0</v>
      </c>
      <c r="F60" s="91">
        <f>IF(LEFT($A$52,5)="blank",0,VLOOKUP($B$2,'Input General'!$A$274:$H$278,COLUMN(F60),FALSE)*'Input Global'!F$21)</f>
        <v>0</v>
      </c>
      <c r="G60" s="91">
        <f>IF(LEFT($A$52,5)="blank",0,VLOOKUP($B$2,'Input General'!$A$274:$H$278,COLUMN(G60),FALSE)*'Input Global'!G$21)</f>
        <v>0</v>
      </c>
      <c r="H60" s="91">
        <f>IF(LEFT($A$52,5)="blank",0,VLOOKUP($B$2,'Input General'!$A$274:$H$278,COLUMN(H60),FALSE)*'Input Global'!H$21)</f>
        <v>0</v>
      </c>
    </row>
    <row r="61" spans="1:8" hidden="1" x14ac:dyDescent="0.3">
      <c r="A61" s="6" t="str">
        <f t="shared" si="5"/>
        <v>Large Scale Renewable Energy Target</v>
      </c>
      <c r="B61" s="4" t="s">
        <v>37</v>
      </c>
      <c r="C61" s="4" t="s">
        <v>57</v>
      </c>
      <c r="D61" s="91">
        <f>IF(LEFT($A$52,5)="blank",0,VLOOKUP($B$2,'Input General'!$A338:$H342,COLUMN(D61),FALSE)*'Input Global'!D21)</f>
        <v>0</v>
      </c>
      <c r="E61" s="91">
        <f>IF(LEFT($A$52,5)="blank",0,VLOOKUP($B$2,'Input General'!$A338:$H342,COLUMN(E61),FALSE)*'Input Global'!E21)</f>
        <v>0</v>
      </c>
      <c r="F61" s="91">
        <f>IF(LEFT($A$52,5)="blank",0,VLOOKUP($B$2,'Input General'!$A338:$H342,COLUMN(F61),FALSE)*'Input Global'!F21)</f>
        <v>0</v>
      </c>
      <c r="G61" s="91">
        <f>IF(LEFT($A$52,5)="blank",0,VLOOKUP($B$2,'Input General'!$A338:$H342,COLUMN(G61),FALSE)*'Input Global'!G21)</f>
        <v>0</v>
      </c>
      <c r="H61" s="91">
        <f>IF(LEFT($A$52,5)="blank",0,VLOOKUP($B$2,'Input General'!$A338:$H342,COLUMN(H61),FALSE)*'Input Global'!H21)</f>
        <v>0</v>
      </c>
    </row>
    <row r="62" spans="1:8" hidden="1" x14ac:dyDescent="0.3">
      <c r="A62" s="6" t="str">
        <f t="shared" si="5"/>
        <v>Small Scale Renewable Energy Scheme</v>
      </c>
      <c r="B62" s="4" t="s">
        <v>37</v>
      </c>
      <c r="C62" s="4" t="s">
        <v>57</v>
      </c>
      <c r="D62" s="91">
        <f>IF(LEFT($A$52,5)="blank",0,'Input General'!D151*'Input Global'!D$21)</f>
        <v>0</v>
      </c>
      <c r="E62" s="91">
        <f>IF(LEFT($A$52,5)="blank",0,'Input General'!E151*'Input Global'!E$21)</f>
        <v>0</v>
      </c>
      <c r="F62" s="91">
        <f>IF(LEFT($A$52,5)="blank",0,'Input General'!F151*'Input Global'!F$21)</f>
        <v>0</v>
      </c>
      <c r="G62" s="91">
        <f>IF(LEFT($A$52,5)="blank",0,'Input General'!G151*'Input Global'!G$21)</f>
        <v>0</v>
      </c>
      <c r="H62" s="91">
        <f>IF(LEFT($A$52,5)="blank",0,'Input General'!H151*'Input Global'!H$21)</f>
        <v>0</v>
      </c>
    </row>
    <row r="63" spans="1:8" hidden="1" x14ac:dyDescent="0.3">
      <c r="A63" s="6" t="str">
        <f t="shared" si="5"/>
        <v>blank</v>
      </c>
      <c r="B63" s="4" t="s">
        <v>37</v>
      </c>
      <c r="C63" s="4" t="s">
        <v>57</v>
      </c>
      <c r="D63" s="91">
        <f>IF(LEFT($A$52,5)="blank",0,VLOOKUP($B$2,'Input General'!$A$177:$H$181,COLUMN(D48),FALSE)*'Input Global'!D$21)</f>
        <v>0</v>
      </c>
      <c r="E63" s="91">
        <f>IF(LEFT($A$52,5)="blank",0,VLOOKUP($B$2,'Input General'!$A$177:$H$181,COLUMN(E48),FALSE)*'Input Global'!E$21)</f>
        <v>0</v>
      </c>
      <c r="F63" s="91">
        <f>IF(LEFT($A$52,5)="blank",0,VLOOKUP($B$2,'Input General'!$A$177:$H$181,COLUMN(F48),FALSE)*'Input Global'!F$21)</f>
        <v>0</v>
      </c>
      <c r="G63" s="91">
        <f>IF(LEFT($A$52,5)="blank",0,VLOOKUP($B$2,'Input General'!$A$177:$H$181,COLUMN(G48),FALSE)*'Input Global'!G$21)</f>
        <v>0</v>
      </c>
      <c r="H63" s="91">
        <f>IF(LEFT($A$52,5)="blank",0,VLOOKUP($B$2,'Input General'!$A$177:$H$181,COLUMN(H48),FALSE)*'Input Global'!H$21)</f>
        <v>0</v>
      </c>
    </row>
    <row r="64" spans="1:8" hidden="1" x14ac:dyDescent="0.3">
      <c r="A64" s="6" t="str">
        <f t="shared" si="5"/>
        <v>blank</v>
      </c>
      <c r="B64" s="4" t="s">
        <v>37</v>
      </c>
      <c r="C64" s="4" t="s">
        <v>57</v>
      </c>
      <c r="D64" s="91">
        <f>IF(LEFT($A$52,5)="blank",0,VLOOKUP($B$2,'Input General'!$A$209:$H$213,COLUMN(D64),FALSE)*'Input Global'!D$21)</f>
        <v>0</v>
      </c>
      <c r="E64" s="91">
        <f>IF(LEFT($A$52,5)="blank",0,VLOOKUP($B$2,'Input General'!$A$209:$H$213,COLUMN(E64),FALSE)*'Input Global'!E$21)</f>
        <v>0</v>
      </c>
      <c r="F64" s="91">
        <f>IF(LEFT($A$52,5)="blank",0,VLOOKUP($B$2,'Input General'!$A$209:$H$213,COLUMN(F64),FALSE)*'Input Global'!F$21)</f>
        <v>0</v>
      </c>
      <c r="G64" s="91">
        <f>IF(LEFT($A$52,5)="blank",0,VLOOKUP($B$2,'Input General'!$A$209:$H$213,COLUMN(G64),FALSE)*'Input Global'!G$21)</f>
        <v>0</v>
      </c>
      <c r="H64" s="91">
        <f>IF(LEFT($A$52,5)="blank",0,VLOOKUP($B$2,'Input General'!$A$209:$H$213,COLUMN(H64),FALSE)*'Input Global'!H$21)</f>
        <v>0</v>
      </c>
    </row>
    <row r="65" spans="1:8" hidden="1" x14ac:dyDescent="0.3">
      <c r="A65" s="7" t="s">
        <v>55</v>
      </c>
      <c r="B65" s="7" t="s">
        <v>37</v>
      </c>
      <c r="C65" s="7" t="s">
        <v>57</v>
      </c>
      <c r="D65" s="91">
        <f>SUM(D53:D64)</f>
        <v>0</v>
      </c>
      <c r="E65" s="91">
        <f t="shared" ref="E65:H65" si="6">SUM(E53:E64)</f>
        <v>0</v>
      </c>
      <c r="F65" s="91">
        <f t="shared" si="6"/>
        <v>0</v>
      </c>
      <c r="G65" s="91">
        <f t="shared" si="6"/>
        <v>0</v>
      </c>
      <c r="H65" s="91">
        <f t="shared" si="6"/>
        <v>0</v>
      </c>
    </row>
    <row r="66" spans="1:8" hidden="1" x14ac:dyDescent="0.3">
      <c r="A66" s="118"/>
      <c r="B66" s="118"/>
      <c r="C66" s="118"/>
      <c r="D66" s="119"/>
      <c r="E66" s="119"/>
      <c r="F66" s="119"/>
      <c r="G66" s="119"/>
      <c r="H66" s="119"/>
    </row>
    <row r="67" spans="1:8" hidden="1" x14ac:dyDescent="0.3">
      <c r="A67" s="5" t="str">
        <f>Dist5</f>
        <v>blank</v>
      </c>
    </row>
    <row r="68" spans="1:8" hidden="1" x14ac:dyDescent="0.3">
      <c r="A68" s="4" t="str">
        <f>A53</f>
        <v>Wholesale</v>
      </c>
      <c r="B68" s="4" t="s">
        <v>37</v>
      </c>
      <c r="C68" s="4" t="s">
        <v>57</v>
      </c>
      <c r="D68" s="91">
        <f>IF(LEFT($A$67,5)="blank",0,VLOOKUP($B$2,dist5wholesale,COLUMN(D68),FALSE)*'Input Global'!D22)</f>
        <v>0</v>
      </c>
      <c r="E68" s="91">
        <f>IF(LEFT($A$67,5)="blank",0,VLOOKUP($B$2,dist5wholesale,COLUMN(E68),FALSE)*'Input Global'!E22)</f>
        <v>0</v>
      </c>
      <c r="F68" s="91">
        <f>IF(LEFT($A$67,5)="blank",0,VLOOKUP($B$2,dist5wholesale,COLUMN(F68),FALSE)*'Input Global'!F22)</f>
        <v>0</v>
      </c>
      <c r="G68" s="91">
        <f>IF(LEFT($A$67,5)="blank",0,VLOOKUP($B$2,dist5wholesale,COLUMN(G68),FALSE)*'Input Global'!G22)</f>
        <v>0</v>
      </c>
      <c r="H68" s="91">
        <f>IF(LEFT($A$67,5)="blank",0,VLOOKUP($B$2,dist5wholesale,COLUMN(H68),FALSE)*'Input Global'!H22)</f>
        <v>0</v>
      </c>
    </row>
    <row r="69" spans="1:8" hidden="1" x14ac:dyDescent="0.3">
      <c r="A69" s="4" t="str">
        <f t="shared" ref="A69:A79" si="7">A54</f>
        <v>Transmission</v>
      </c>
      <c r="B69" s="4" t="s">
        <v>37</v>
      </c>
      <c r="C69" s="4" t="s">
        <v>57</v>
      </c>
      <c r="D69" s="91">
        <f>IF(LEFT($A$67,5)="blank",0,'Input General'!D32+(SUMPRODUCT('Input General'!D33:D36,'Input General'!D131:D134)*'Input Global'!D$22))</f>
        <v>0</v>
      </c>
      <c r="E69" s="91">
        <f>IF(LEFT($A$67,5)="blank",0,'Input General'!E32+(SUMPRODUCT('Input General'!E33:E36,'Input General'!E131:E134)*'Input Global'!E$22))</f>
        <v>0</v>
      </c>
      <c r="F69" s="91">
        <f>IF(LEFT($A$67,5)="blank",0,'Input General'!F32+(SUMPRODUCT('Input General'!F33:F36,'Input General'!F131:F134)*'Input Global'!F$22))</f>
        <v>0</v>
      </c>
      <c r="G69" s="91">
        <f>IF(LEFT($A$67,5)="blank",0,'Input General'!G32+(SUMPRODUCT('Input General'!G33:G36,'Input General'!G131:G134)*'Input Global'!G$22))</f>
        <v>0</v>
      </c>
      <c r="H69" s="91">
        <f>IF(LEFT($A$67,5)="blank",0,'Input General'!H32+(SUMPRODUCT('Input General'!H33:H36,'Input General'!H131:H134)*'Input Global'!H$22))</f>
        <v>0</v>
      </c>
    </row>
    <row r="70" spans="1:8" hidden="1" x14ac:dyDescent="0.3">
      <c r="A70" s="4" t="str">
        <f t="shared" si="7"/>
        <v>Distribution</v>
      </c>
      <c r="B70" s="4" t="s">
        <v>37</v>
      </c>
      <c r="C70" s="4" t="s">
        <v>57</v>
      </c>
      <c r="D70" s="91">
        <f>IF(LEFT($A$67,5)="blank",0,'Input General'!D64+SUMPRODUCT('Input General'!D65:D68,'Input General'!D131:D134)*'Input Global'!D$22+'Input General'!D75)</f>
        <v>0</v>
      </c>
      <c r="E70" s="91">
        <f>IF(LEFT($A$67,5)="blank",0,'Input General'!E64+SUMPRODUCT('Input General'!E65:E68,'Input General'!E131:E134)*'Input Global'!E$22+'Input General'!E75)</f>
        <v>0</v>
      </c>
      <c r="F70" s="91">
        <f>IF(LEFT($A$67,5)="blank",0,'Input General'!F64+SUMPRODUCT('Input General'!F65:F68,'Input General'!F131:F134)*'Input Global'!F$22+'Input General'!F75)</f>
        <v>0</v>
      </c>
      <c r="G70" s="91">
        <f>IF(LEFT($A$67,5)="blank",0,'Input General'!G64+SUMPRODUCT('Input General'!G65:G68,'Input General'!G131:G134)*'Input Global'!G$22+'Input General'!G75)</f>
        <v>0</v>
      </c>
      <c r="H70" s="91">
        <f>IF(LEFT($A$67,5)="blank",0,'Input General'!H64+SUMPRODUCT('Input General'!H65:H68,'Input General'!H131:H134)*'Input Global'!H$22+'Input General'!H75)</f>
        <v>0</v>
      </c>
    </row>
    <row r="71" spans="1:8" hidden="1" x14ac:dyDescent="0.3">
      <c r="A71" s="4" t="str">
        <f t="shared" si="7"/>
        <v>Retail</v>
      </c>
      <c r="B71" s="4" t="s">
        <v>37</v>
      </c>
      <c r="C71" s="4" t="s">
        <v>57</v>
      </c>
      <c r="D71" s="91">
        <f>IF(LEFT($A$67,5)="blank",0,'Input General'!D154*'Input Global'!D$22)</f>
        <v>0</v>
      </c>
      <c r="E71" s="91">
        <f>IF(LEFT($A$67,5)="blank",0,'Input General'!E154*'Input Global'!E$22)</f>
        <v>0</v>
      </c>
      <c r="F71" s="91">
        <f>IF(LEFT($A$67,5)="blank",0,'Input General'!F154*'Input Global'!F$22)</f>
        <v>0</v>
      </c>
      <c r="G71" s="91">
        <f>IF(LEFT($A$67,5)="blank",0,'Input General'!G154*'Input Global'!G$22)</f>
        <v>0</v>
      </c>
      <c r="H71" s="91">
        <f>IF(LEFT($A$67,5)="blank",0,'Input General'!H154*'Input Global'!H$22)</f>
        <v>0</v>
      </c>
    </row>
    <row r="72" spans="1:8" hidden="1" x14ac:dyDescent="0.3">
      <c r="A72" s="4" t="str">
        <f t="shared" si="7"/>
        <v>Retail and Residual</v>
      </c>
      <c r="B72" s="4" t="s">
        <v>37</v>
      </c>
      <c r="C72" s="4" t="s">
        <v>57</v>
      </c>
      <c r="D72" s="91">
        <f>IF(LEFT($A$67,5)="blank",0,VLOOKUP($B$2,'Input General'!$A$247:$H$251,COLUMN(D72),FALSE)*'Input Global'!D$37)</f>
        <v>0</v>
      </c>
      <c r="E72" s="91">
        <f>IF(LEFT($A$67,5)="blank",0,VLOOKUP($B$2,'Input General'!$A$247:$H$251,COLUMN(E72),FALSE)*'Input Global'!E$37)</f>
        <v>0</v>
      </c>
      <c r="F72" s="91">
        <f>IF(LEFT($A$67,5)="blank",0,VLOOKUP($B$2,'Input General'!$A$247:$H$251,COLUMN(F72),FALSE)*'Input Global'!F$37)</f>
        <v>0</v>
      </c>
      <c r="G72" s="91">
        <f>IF(LEFT($A$67,5)="blank",0,VLOOKUP($B$2,'Input General'!$A$247:$H$251,COLUMN(G72),FALSE)*'Input Global'!G$37)</f>
        <v>0</v>
      </c>
      <c r="H72" s="91">
        <f>IF(LEFT($A$67,5)="blank",0,VLOOKUP($B$2,'Input General'!$A$247:$H$251,COLUMN(H72),FALSE)*'Input Global'!H$37)</f>
        <v>0</v>
      </c>
    </row>
    <row r="73" spans="1:8" hidden="1" x14ac:dyDescent="0.3">
      <c r="A73" s="4" t="str">
        <f t="shared" si="7"/>
        <v>Green Schemes</v>
      </c>
      <c r="D73" s="86"/>
      <c r="E73" s="86"/>
      <c r="F73" s="86"/>
      <c r="G73" s="86"/>
      <c r="H73" s="86"/>
    </row>
    <row r="74" spans="1:8" hidden="1" x14ac:dyDescent="0.3">
      <c r="A74" s="6" t="str">
        <f t="shared" si="7"/>
        <v>Feed-in Tariffs</v>
      </c>
      <c r="B74" s="4" t="s">
        <v>37</v>
      </c>
      <c r="C74" s="4" t="s">
        <v>57</v>
      </c>
      <c r="D74" s="91">
        <f>IF(LEFT($A$67,5)="blank",0,'Input General'!D103+SUMPRODUCT('Input General'!D104:D107,'Input General'!D131:D134)*'Input Global'!D$22)</f>
        <v>0</v>
      </c>
      <c r="E74" s="91">
        <f>IF(LEFT($A$67,5)="blank",0,'Input General'!E103+SUMPRODUCT('Input General'!E104:E107,'Input General'!E131:E134)*'Input Global'!E$22)</f>
        <v>0</v>
      </c>
      <c r="F74" s="91">
        <f>IF(LEFT($A$67,5)="blank",0,'Input General'!F103+SUMPRODUCT('Input General'!F104:F107,'Input General'!F131:F134)*'Input Global'!F$22)</f>
        <v>0</v>
      </c>
      <c r="G74" s="91">
        <f>IF(LEFT($A$67,5)="blank",0,'Input General'!G103+SUMPRODUCT('Input General'!G104:G107,'Input General'!G131:G134)*'Input Global'!G$22)</f>
        <v>0</v>
      </c>
      <c r="H74" s="91">
        <f>IF(LEFT($A$67,5)="blank",0,'Input General'!H103+SUMPRODUCT('Input General'!H104:H107,'Input General'!H131:H134)*'Input Global'!H$22)</f>
        <v>0</v>
      </c>
    </row>
    <row r="75" spans="1:8" hidden="1" x14ac:dyDescent="0.3">
      <c r="A75" s="6" t="str">
        <f t="shared" si="7"/>
        <v>Carbon costs</v>
      </c>
      <c r="B75" s="4" t="s">
        <v>37</v>
      </c>
      <c r="C75" s="4" t="s">
        <v>57</v>
      </c>
      <c r="D75" s="91">
        <f>IF(LEFT($A$67,5)="blank",0,VLOOKUP($B$2,'Input General'!$A$280:$H$284,COLUMN(D75),FALSE)*'Input Global'!D$22)</f>
        <v>0</v>
      </c>
      <c r="E75" s="91">
        <f>IF(LEFT($A$67,5)="blank",0,VLOOKUP($B$2,'Input General'!$A$280:$H$284,COLUMN(E75),FALSE)*'Input Global'!E$22)</f>
        <v>0</v>
      </c>
      <c r="F75" s="91">
        <f>IF(LEFT($A$67,5)="blank",0,VLOOKUP($B$2,'Input General'!$A$280:$H$284,COLUMN(F75),FALSE)*'Input Global'!F$22)</f>
        <v>0</v>
      </c>
      <c r="G75" s="91">
        <f>IF(LEFT($A$67,5)="blank",0,VLOOKUP($B$2,'Input General'!$A$280:$H$284,COLUMN(G75),FALSE)*'Input Global'!G$22)</f>
        <v>0</v>
      </c>
      <c r="H75" s="91">
        <f>IF(LEFT($A$67,5)="blank",0,VLOOKUP($B$2,'Input General'!$A$280:$H$284,COLUMN(H75),FALSE)*'Input Global'!H$22)</f>
        <v>0</v>
      </c>
    </row>
    <row r="76" spans="1:8" hidden="1" x14ac:dyDescent="0.3">
      <c r="A76" s="6" t="str">
        <f t="shared" si="7"/>
        <v>Large Scale Renewable Energy Target</v>
      </c>
      <c r="B76" s="4" t="s">
        <v>37</v>
      </c>
      <c r="C76" s="4" t="s">
        <v>57</v>
      </c>
      <c r="D76" s="91">
        <f>IF(LEFT($A$67,5)="blank",0,VLOOKUP($B$2,'Input General'!$A344:$H348,COLUMN(D76),FALSE)*'Input Global'!D22)</f>
        <v>0</v>
      </c>
      <c r="E76" s="91">
        <f>IF(LEFT($A$67,5)="blank",0,VLOOKUP($B$2,'Input General'!$A344:$H348,COLUMN(E76),FALSE)*'Input Global'!E22)</f>
        <v>0</v>
      </c>
      <c r="F76" s="91">
        <f>IF(LEFT($A$67,5)="blank",0,VLOOKUP($B$2,'Input General'!$A344:$H348,COLUMN(F76),FALSE)*'Input Global'!F22)</f>
        <v>0</v>
      </c>
      <c r="G76" s="91">
        <f>IF(LEFT($A$67,5)="blank",0,VLOOKUP($B$2,'Input General'!$A344:$H348,COLUMN(G76),FALSE)*'Input Global'!G22)</f>
        <v>0</v>
      </c>
      <c r="H76" s="91">
        <f>IF(LEFT($A$67,5)="blank",0,VLOOKUP($B$2,'Input General'!$A344:$H348,COLUMN(H76),FALSE)*'Input Global'!H22)</f>
        <v>0</v>
      </c>
    </row>
    <row r="77" spans="1:8" hidden="1" x14ac:dyDescent="0.3">
      <c r="A77" s="6" t="str">
        <f t="shared" si="7"/>
        <v>Small Scale Renewable Energy Scheme</v>
      </c>
      <c r="B77" s="4" t="s">
        <v>37</v>
      </c>
      <c r="C77" s="4" t="s">
        <v>57</v>
      </c>
      <c r="D77" s="91">
        <f>IF(LEFT($A$67,5)="blank",0,'Input General'!D155*'Input Global'!D$22)</f>
        <v>0</v>
      </c>
      <c r="E77" s="91">
        <f>IF(LEFT($A$67,5)="blank",0,'Input General'!E155*'Input Global'!E$22)</f>
        <v>0</v>
      </c>
      <c r="F77" s="91">
        <f>IF(LEFT($A$67,5)="blank",0,'Input General'!F155*'Input Global'!F$22)</f>
        <v>0</v>
      </c>
      <c r="G77" s="91">
        <f>IF(LEFT($A$67,5)="blank",0,'Input General'!G155*'Input Global'!G$22)</f>
        <v>0</v>
      </c>
      <c r="H77" s="91">
        <f>IF(LEFT($A$67,5)="blank",0,'Input General'!H155*'Input Global'!H$22)</f>
        <v>0</v>
      </c>
    </row>
    <row r="78" spans="1:8" hidden="1" x14ac:dyDescent="0.3">
      <c r="A78" s="6" t="str">
        <f t="shared" si="7"/>
        <v>blank</v>
      </c>
      <c r="B78" s="4" t="s">
        <v>37</v>
      </c>
      <c r="C78" s="4" t="s">
        <v>57</v>
      </c>
      <c r="D78" s="91">
        <f>IF(LEFT($A$67,5)="blank",0,VLOOKUP($B$2,'Input General'!$A$183:$H$187,COLUMN(D78),FALSE)*'Input Global'!D$22)</f>
        <v>0</v>
      </c>
      <c r="E78" s="91">
        <f>IF(LEFT($A$67,5)="blank",0,VLOOKUP($B$2,'Input General'!$A$183:$H$187,COLUMN(E78),FALSE)*'Input Global'!E$22)</f>
        <v>0</v>
      </c>
      <c r="F78" s="91">
        <f>IF(LEFT($A$67,5)="blank",0,VLOOKUP($B$2,'Input General'!$A$183:$H$187,COLUMN(F78),FALSE)*'Input Global'!F$22)</f>
        <v>0</v>
      </c>
      <c r="G78" s="91">
        <f>IF(LEFT($A$67,5)="blank",0,VLOOKUP($B$2,'Input General'!$A$183:$H$187,COLUMN(G78),FALSE)*'Input Global'!G$22)</f>
        <v>0</v>
      </c>
      <c r="H78" s="91">
        <f>IF(LEFT($A$67,5)="blank",0,VLOOKUP($B$2,'Input General'!$A$183:$H$187,COLUMN(H78),FALSE)*'Input Global'!H$22)</f>
        <v>0</v>
      </c>
    </row>
    <row r="79" spans="1:8" hidden="1" x14ac:dyDescent="0.3">
      <c r="A79" s="6" t="str">
        <f t="shared" si="7"/>
        <v>blank</v>
      </c>
      <c r="B79" s="4" t="s">
        <v>37</v>
      </c>
      <c r="C79" s="4" t="s">
        <v>57</v>
      </c>
      <c r="D79" s="91">
        <f>IF(LEFT($A$67,5)="blank",0,VLOOKUP($B$2,'Input General'!$A$215:$H$219,COLUMN(D79),FALSE)*'Input Global'!D$22)</f>
        <v>0</v>
      </c>
      <c r="E79" s="91">
        <f>IF(LEFT($A$67,5)="blank",0,VLOOKUP($B$2,'Input General'!$A$215:$H$219,COLUMN(E79),FALSE)*'Input Global'!E$22)</f>
        <v>0</v>
      </c>
      <c r="F79" s="91">
        <f>IF(LEFT($A$67,5)="blank",0,VLOOKUP($B$2,'Input General'!$A$215:$H$219,COLUMN(F79),FALSE)*'Input Global'!F$22)</f>
        <v>0</v>
      </c>
      <c r="G79" s="91">
        <f>IF(LEFT($A$67,5)="blank",0,VLOOKUP($B$2,'Input General'!$A$215:$H$219,COLUMN(G79),FALSE)*'Input Global'!G$22)</f>
        <v>0</v>
      </c>
      <c r="H79" s="91">
        <f>IF(LEFT($A$67,5)="blank",0,VLOOKUP($B$2,'Input General'!$A$215:$H$219,COLUMN(H79),FALSE)*'Input Global'!H$22)</f>
        <v>0</v>
      </c>
    </row>
    <row r="80" spans="1:8" hidden="1" x14ac:dyDescent="0.3">
      <c r="A80" s="7" t="s">
        <v>55</v>
      </c>
      <c r="B80" s="7" t="s">
        <v>37</v>
      </c>
      <c r="C80" s="7" t="s">
        <v>57</v>
      </c>
      <c r="D80" s="91">
        <f>SUM(D68:D79)</f>
        <v>0</v>
      </c>
      <c r="E80" s="91">
        <f t="shared" ref="E80:H80" si="8">SUM(E68:E79)</f>
        <v>0</v>
      </c>
      <c r="F80" s="91">
        <f t="shared" si="8"/>
        <v>0</v>
      </c>
      <c r="G80" s="91">
        <f t="shared" si="8"/>
        <v>0</v>
      </c>
      <c r="H80" s="91">
        <f t="shared" si="8"/>
        <v>0</v>
      </c>
    </row>
    <row r="81" spans="1:8" x14ac:dyDescent="0.3">
      <c r="A81" s="118"/>
      <c r="B81" s="118"/>
      <c r="C81" s="118"/>
      <c r="D81" s="119"/>
      <c r="E81" s="119"/>
      <c r="F81" s="119"/>
      <c r="G81" s="119"/>
      <c r="H81" s="119"/>
    </row>
    <row r="82" spans="1:8" ht="18.75" x14ac:dyDescent="0.3">
      <c r="A82" s="3" t="s">
        <v>56</v>
      </c>
      <c r="B82" s="3" t="s">
        <v>42</v>
      </c>
      <c r="D82" s="86"/>
      <c r="E82" s="86"/>
      <c r="F82" s="86"/>
      <c r="G82" s="86"/>
      <c r="H82" s="86"/>
    </row>
    <row r="84" spans="1:8" x14ac:dyDescent="0.3">
      <c r="A84" s="5" t="str">
        <f>Dist1</f>
        <v>Northern Territory</v>
      </c>
    </row>
    <row r="85" spans="1:8" x14ac:dyDescent="0.3">
      <c r="A85" s="4" t="str">
        <f>A68</f>
        <v>Wholesale</v>
      </c>
      <c r="B85" s="4" t="s">
        <v>37</v>
      </c>
      <c r="C85" s="4" t="s">
        <v>11</v>
      </c>
      <c r="D85" s="91">
        <f ca="1">IF(LEFT($A$84,5)="blank",0,D8/'Input Global'!D$18)</f>
        <v>0</v>
      </c>
      <c r="E85" s="91">
        <f ca="1">IF(LEFT($A$84,5)="blank",0,E8/'Input Global'!E$18)</f>
        <v>13.838999999999999</v>
      </c>
      <c r="F85" s="91">
        <f ca="1">IF(LEFT($A$84,5)="blank",0,F8/'Input Global'!F$18)</f>
        <v>14.249454545454544</v>
      </c>
      <c r="G85" s="91">
        <f ca="1">IF(LEFT($A$84,5)="blank",0,G8/'Input Global'!G$18)</f>
        <v>20.292460273972601</v>
      </c>
      <c r="H85" s="91">
        <f ca="1">IF(LEFT($A$84,5)="blank",0,H8/'Input Global'!H$18)</f>
        <v>20.799771780821914</v>
      </c>
    </row>
    <row r="86" spans="1:8" x14ac:dyDescent="0.3">
      <c r="A86" s="4" t="str">
        <f t="shared" ref="A86:A96" si="9">A69</f>
        <v>Transmission</v>
      </c>
      <c r="B86" s="4" t="s">
        <v>37</v>
      </c>
      <c r="C86" s="4" t="s">
        <v>11</v>
      </c>
      <c r="D86" s="91">
        <f>IF(LEFT($A$84,5)="blank",0,D9/'Input Global'!D$18)</f>
        <v>0</v>
      </c>
      <c r="E86" s="91">
        <f>IF(LEFT($A$84,5)="blank",0,E9/'Input Global'!E$18)</f>
        <v>0</v>
      </c>
      <c r="F86" s="91">
        <f>IF(LEFT($A$84,5)="blank",0,F9/'Input Global'!F$18)</f>
        <v>0</v>
      </c>
      <c r="G86" s="91">
        <f>IF(LEFT($A$84,5)="blank",0,G9/'Input Global'!G$18)</f>
        <v>0</v>
      </c>
      <c r="H86" s="91">
        <f>IF(LEFT($A$84,5)="blank",0,H9/'Input Global'!H$18)</f>
        <v>0</v>
      </c>
    </row>
    <row r="87" spans="1:8" x14ac:dyDescent="0.3">
      <c r="A87" s="4" t="str">
        <f t="shared" si="9"/>
        <v>Distribution</v>
      </c>
      <c r="B87" s="4" t="s">
        <v>37</v>
      </c>
      <c r="C87" s="4" t="s">
        <v>11</v>
      </c>
      <c r="D87" s="91">
        <f>IF(LEFT($A$84,5)="blank",0,D10/'Input Global'!D$18)</f>
        <v>0</v>
      </c>
      <c r="E87" s="91">
        <f>IF(LEFT($A$84,5)="blank",0,E10/'Input Global'!E$18)</f>
        <v>7.5485454545454536</v>
      </c>
      <c r="F87" s="91">
        <f>IF(LEFT($A$84,5)="blank",0,F10/'Input Global'!F$18)</f>
        <v>7.916363636363636</v>
      </c>
      <c r="G87" s="91">
        <f>IF(LEFT($A$84,5)="blank",0,G10/'Input Global'!G$18)</f>
        <v>8.3192727272727272</v>
      </c>
      <c r="H87" s="91">
        <f>IF(LEFT($A$84,5)="blank",0,H10/'Input Global'!H$18)</f>
        <v>8.5997362090909064</v>
      </c>
    </row>
    <row r="88" spans="1:8" x14ac:dyDescent="0.3">
      <c r="A88" s="4" t="str">
        <f t="shared" si="9"/>
        <v>Retail</v>
      </c>
      <c r="B88" s="4" t="s">
        <v>37</v>
      </c>
      <c r="C88" s="4" t="s">
        <v>11</v>
      </c>
      <c r="D88" s="91">
        <f>IF(LEFT($A$84,5)="blank",0,D11/'Input Global'!D$18)</f>
        <v>0</v>
      </c>
      <c r="E88" s="91">
        <f>IF(LEFT($A$84,5)="blank",0,E11/'Input Global'!E$18)</f>
        <v>0.28756363636363635</v>
      </c>
      <c r="F88" s="91">
        <f>IF(LEFT($A$84,5)="blank",0,F11/'Input Global'!F$18)</f>
        <v>0.31665454545454547</v>
      </c>
      <c r="G88" s="91">
        <f>IF(LEFT($A$84,5)="blank",0,G11/'Input Global'!G$18)</f>
        <v>0.45094356164383564</v>
      </c>
      <c r="H88" s="91">
        <f>IF(LEFT($A$84,5)="blank",0,H11/'Input Global'!H$18)</f>
        <v>0.46221715068493147</v>
      </c>
    </row>
    <row r="89" spans="1:8" x14ac:dyDescent="0.3">
      <c r="A89" s="4" t="str">
        <f t="shared" si="9"/>
        <v>Retail and Residual</v>
      </c>
      <c r="B89" s="4" t="s">
        <v>37</v>
      </c>
      <c r="C89" s="4" t="s">
        <v>11</v>
      </c>
      <c r="D89" s="91">
        <f ca="1">IF(LEFT($A$84,5)="blank",0,D12/'Input Global'!D$18)</f>
        <v>0</v>
      </c>
      <c r="E89" s="91">
        <f ca="1">IF(LEFT($A$84,5)="blank",0,E12/'Input Global'!E$18)</f>
        <v>0</v>
      </c>
      <c r="F89" s="91">
        <f ca="1">IF(LEFT($A$84,5)="blank",0,F12/'Input Global'!F$18)</f>
        <v>0</v>
      </c>
      <c r="G89" s="91">
        <f ca="1">IF(LEFT($A$84,5)="blank",0,G12/'Input Global'!G$18)</f>
        <v>0</v>
      </c>
      <c r="H89" s="91">
        <f ca="1">IF(LEFT($A$84,5)="blank",0,H12/'Input Global'!H$18)</f>
        <v>0</v>
      </c>
    </row>
    <row r="90" spans="1:8" x14ac:dyDescent="0.3">
      <c r="A90" s="4" t="str">
        <f t="shared" si="9"/>
        <v>Green Schemes</v>
      </c>
      <c r="C90" s="4" t="s">
        <v>11</v>
      </c>
      <c r="D90" s="86"/>
      <c r="E90" s="86"/>
      <c r="F90" s="86"/>
      <c r="G90" s="86"/>
      <c r="H90" s="86"/>
    </row>
    <row r="91" spans="1:8" x14ac:dyDescent="0.3">
      <c r="A91" s="6" t="str">
        <f t="shared" si="9"/>
        <v>Feed-in Tariffs</v>
      </c>
      <c r="B91" s="4" t="s">
        <v>37</v>
      </c>
      <c r="C91" s="4" t="s">
        <v>11</v>
      </c>
      <c r="D91" s="91">
        <f>IF(LEFT($A$84,5)="blank",0,D14/'Input Global'!D$18)</f>
        <v>0</v>
      </c>
      <c r="E91" s="91">
        <f>IF(LEFT($A$84,5)="blank",0,E14/'Input Global'!E$18)</f>
        <v>0</v>
      </c>
      <c r="F91" s="91">
        <f>IF(LEFT($A$84,5)="blank",0,F14/'Input Global'!F$18)</f>
        <v>0</v>
      </c>
      <c r="G91" s="91">
        <f>IF(LEFT($A$84,5)="blank",0,G14/'Input Global'!G$18)</f>
        <v>0</v>
      </c>
      <c r="H91" s="91">
        <f>IF(LEFT($A$84,5)="blank",0,H14/'Input Global'!H$18)</f>
        <v>0</v>
      </c>
    </row>
    <row r="92" spans="1:8" x14ac:dyDescent="0.3">
      <c r="A92" s="6" t="str">
        <f t="shared" si="9"/>
        <v>Carbon costs</v>
      </c>
      <c r="B92" s="4" t="s">
        <v>37</v>
      </c>
      <c r="C92" s="4" t="s">
        <v>11</v>
      </c>
      <c r="D92" s="91">
        <f ca="1">IF(LEFT($A$84,5)="blank",0,D15/'Input Global'!D$18)</f>
        <v>0</v>
      </c>
      <c r="E92" s="91">
        <f ca="1">IF(LEFT($A$84,5)="blank",0,E15/'Input Global'!E$18)</f>
        <v>0</v>
      </c>
      <c r="F92" s="91">
        <f ca="1">IF(LEFT($A$84,5)="blank",0,F15/'Input Global'!F$18)</f>
        <v>1.325990909090909</v>
      </c>
      <c r="G92" s="91">
        <f ca="1">IF(LEFT($A$84,5)="blank",0,G15/'Input Global'!G$18)</f>
        <v>1.8883261643835614</v>
      </c>
      <c r="H92" s="91">
        <f ca="1">IF(LEFT($A$84,5)="blank",0,H15/'Input Global'!H$18)</f>
        <v>1.9355343184931502</v>
      </c>
    </row>
    <row r="93" spans="1:8" x14ac:dyDescent="0.3">
      <c r="A93" s="6" t="str">
        <f t="shared" si="9"/>
        <v>Large Scale Renewable Energy Target</v>
      </c>
      <c r="B93" s="4" t="s">
        <v>37</v>
      </c>
      <c r="C93" s="4" t="s">
        <v>11</v>
      </c>
      <c r="D93" s="91">
        <f ca="1">IF(LEFT($A$84,5)="blank",0,D16/'Input Global'!D$18)</f>
        <v>0</v>
      </c>
      <c r="E93" s="91">
        <f ca="1">IF(LEFT($A$84,5)="blank",0,E16/'Input Global'!E$18)</f>
        <v>0</v>
      </c>
      <c r="F93" s="91">
        <f ca="1">IF(LEFT($A$84,5)="blank",0,F16/'Input Global'!F$18)</f>
        <v>0</v>
      </c>
      <c r="G93" s="91">
        <f ca="1">IF(LEFT($A$84,5)="blank",0,G16/'Input Global'!G$18)</f>
        <v>0</v>
      </c>
      <c r="H93" s="91">
        <f ca="1">IF(LEFT($A$84,5)="blank",0,H16/'Input Global'!H$18)</f>
        <v>0</v>
      </c>
    </row>
    <row r="94" spans="1:8" x14ac:dyDescent="0.3">
      <c r="A94" s="6" t="str">
        <f t="shared" si="9"/>
        <v>Small Scale Renewable Energy Scheme</v>
      </c>
      <c r="B94" s="4" t="s">
        <v>37</v>
      </c>
      <c r="C94" s="4" t="s">
        <v>11</v>
      </c>
      <c r="D94" s="91">
        <f ca="1">IF(LEFT($A$84,5)="blank",0,D17/'Input Global'!D$18)</f>
        <v>0</v>
      </c>
      <c r="E94" s="91">
        <f ca="1">IF(LEFT($A$84,5)="blank",0,E17/'Input Global'!E$18)</f>
        <v>0</v>
      </c>
      <c r="F94" s="91">
        <f ca="1">IF(LEFT($A$84,5)="blank",0,F17/'Input Global'!F$18)</f>
        <v>0</v>
      </c>
      <c r="G94" s="91">
        <f ca="1">IF(LEFT($A$84,5)="blank",0,G17/'Input Global'!G$18)</f>
        <v>0</v>
      </c>
      <c r="H94" s="91">
        <f ca="1">IF(LEFT($A$84,5)="blank",0,H17/'Input Global'!H$18)</f>
        <v>0</v>
      </c>
    </row>
    <row r="95" spans="1:8" x14ac:dyDescent="0.3">
      <c r="A95" s="6" t="str">
        <f t="shared" si="9"/>
        <v>blank</v>
      </c>
      <c r="B95" s="4" t="s">
        <v>37</v>
      </c>
      <c r="C95" s="4" t="s">
        <v>11</v>
      </c>
      <c r="D95" s="91">
        <f ca="1">IF(LEFT($A$84,5)="blank",0,D18/'Input Global'!D$18)</f>
        <v>0</v>
      </c>
      <c r="E95" s="91">
        <f ca="1">IF(LEFT($A$84,5)="blank",0,E18/'Input Global'!E$18)</f>
        <v>0</v>
      </c>
      <c r="F95" s="91">
        <f ca="1">IF(LEFT($A$84,5)="blank",0,F18/'Input Global'!F$18)</f>
        <v>0</v>
      </c>
      <c r="G95" s="91">
        <f ca="1">IF(LEFT($A$84,5)="blank",0,G18/'Input Global'!G$18)</f>
        <v>0</v>
      </c>
      <c r="H95" s="91">
        <f ca="1">IF(LEFT($A$84,5)="blank",0,H18/'Input Global'!H$18)</f>
        <v>0</v>
      </c>
    </row>
    <row r="96" spans="1:8" x14ac:dyDescent="0.3">
      <c r="A96" s="6" t="str">
        <f t="shared" si="9"/>
        <v>blank</v>
      </c>
      <c r="B96" s="4" t="s">
        <v>37</v>
      </c>
      <c r="C96" s="4" t="s">
        <v>11</v>
      </c>
      <c r="D96" s="91">
        <f ca="1">IF(LEFT($A$84,5)="blank",0,D19/'Input Global'!D$18)</f>
        <v>0</v>
      </c>
      <c r="E96" s="91">
        <f ca="1">IF(LEFT($A$84,5)="blank",0,E19/'Input Global'!E$18)</f>
        <v>0</v>
      </c>
      <c r="F96" s="91">
        <f ca="1">IF(LEFT($A$84,5)="blank",0,F19/'Input Global'!F$18)</f>
        <v>0</v>
      </c>
      <c r="G96" s="91">
        <f ca="1">IF(LEFT($A$84,5)="blank",0,G19/'Input Global'!G$18)</f>
        <v>0</v>
      </c>
      <c r="H96" s="91">
        <f ca="1">IF(LEFT($A$84,5)="blank",0,H19/'Input Global'!H$18)</f>
        <v>0</v>
      </c>
    </row>
    <row r="97" spans="1:8" x14ac:dyDescent="0.3">
      <c r="A97" s="7" t="s">
        <v>55</v>
      </c>
      <c r="B97" s="7" t="s">
        <v>37</v>
      </c>
      <c r="C97" s="7" t="s">
        <v>11</v>
      </c>
      <c r="D97" s="91">
        <f ca="1">SUM(D85:D96)</f>
        <v>0</v>
      </c>
      <c r="E97" s="91">
        <f t="shared" ref="E97:H97" ca="1" si="10">SUM(E85:E96)</f>
        <v>21.675109090909089</v>
      </c>
      <c r="F97" s="91">
        <f t="shared" ca="1" si="10"/>
        <v>23.808463636363637</v>
      </c>
      <c r="G97" s="91">
        <f t="shared" ca="1" si="10"/>
        <v>30.951002727272723</v>
      </c>
      <c r="H97" s="91">
        <f t="shared" ca="1" si="10"/>
        <v>31.797259459090903</v>
      </c>
    </row>
    <row r="98" spans="1:8" hidden="1" x14ac:dyDescent="0.3">
      <c r="A98" s="118"/>
      <c r="B98" s="118"/>
      <c r="C98" s="118"/>
      <c r="D98" s="119"/>
      <c r="E98" s="119"/>
      <c r="F98" s="119"/>
      <c r="G98" s="119"/>
      <c r="H98" s="119"/>
    </row>
    <row r="99" spans="1:8" hidden="1" x14ac:dyDescent="0.3">
      <c r="A99" s="5" t="str">
        <f>Dist2</f>
        <v>blank</v>
      </c>
    </row>
    <row r="100" spans="1:8" hidden="1" x14ac:dyDescent="0.3">
      <c r="A100" s="4" t="str">
        <f>A85</f>
        <v>Wholesale</v>
      </c>
      <c r="B100" s="4" t="s">
        <v>37</v>
      </c>
      <c r="C100" s="4" t="s">
        <v>11</v>
      </c>
      <c r="D100" s="91">
        <f>IF(LEFT($A$99,5)="blank",0,D23/'Input Global'!D$19)</f>
        <v>0</v>
      </c>
      <c r="E100" s="91">
        <f>IF(LEFT($A$99,5)="blank",0,E23/'Input Global'!E$19)</f>
        <v>0</v>
      </c>
      <c r="F100" s="91">
        <f>IF(LEFT($A$99,5)="blank",0,F23/'Input Global'!F$19)</f>
        <v>0</v>
      </c>
      <c r="G100" s="91">
        <f>IF(LEFT($A$99,5)="blank",0,G23/'Input Global'!G$19)</f>
        <v>0</v>
      </c>
      <c r="H100" s="91">
        <f>IF(LEFT($A$99,5)="blank",0,H23/'Input Global'!H$19)</f>
        <v>0</v>
      </c>
    </row>
    <row r="101" spans="1:8" hidden="1" x14ac:dyDescent="0.3">
      <c r="A101" s="4" t="str">
        <f t="shared" ref="A101:A111" si="11">A86</f>
        <v>Transmission</v>
      </c>
      <c r="B101" s="4" t="s">
        <v>37</v>
      </c>
      <c r="C101" s="4" t="s">
        <v>11</v>
      </c>
      <c r="D101" s="91">
        <f>IF(LEFT($A$99,5)="blank",0,D24/'Input Global'!D$19)</f>
        <v>0</v>
      </c>
      <c r="E101" s="91">
        <f>IF(LEFT($A$99,5)="blank",0,E24/'Input Global'!E$19)</f>
        <v>0</v>
      </c>
      <c r="F101" s="91">
        <f>IF(LEFT($A$99,5)="blank",0,F24/'Input Global'!F$19)</f>
        <v>0</v>
      </c>
      <c r="G101" s="91">
        <f>IF(LEFT($A$99,5)="blank",0,G24/'Input Global'!G$19)</f>
        <v>0</v>
      </c>
      <c r="H101" s="91">
        <f>IF(LEFT($A$99,5)="blank",0,H24/'Input Global'!H$19)</f>
        <v>0</v>
      </c>
    </row>
    <row r="102" spans="1:8" hidden="1" x14ac:dyDescent="0.3">
      <c r="A102" s="4" t="str">
        <f t="shared" si="11"/>
        <v>Distribution</v>
      </c>
      <c r="B102" s="4" t="s">
        <v>37</v>
      </c>
      <c r="C102" s="4" t="s">
        <v>11</v>
      </c>
      <c r="D102" s="91">
        <f>IF(LEFT($A$99,5)="blank",0,D25/'Input Global'!D$19)</f>
        <v>0</v>
      </c>
      <c r="E102" s="91">
        <f>IF(LEFT($A$99,5)="blank",0,E25/'Input Global'!E$19)</f>
        <v>0</v>
      </c>
      <c r="F102" s="91">
        <f>IF(LEFT($A$99,5)="blank",0,F25/'Input Global'!F$19)</f>
        <v>0</v>
      </c>
      <c r="G102" s="91">
        <f>IF(LEFT($A$99,5)="blank",0,G25/'Input Global'!G$19)</f>
        <v>0</v>
      </c>
      <c r="H102" s="91">
        <f>IF(LEFT($A$99,5)="blank",0,H25/'Input Global'!H$19)</f>
        <v>0</v>
      </c>
    </row>
    <row r="103" spans="1:8" hidden="1" x14ac:dyDescent="0.3">
      <c r="A103" s="4" t="str">
        <f t="shared" si="11"/>
        <v>Retail</v>
      </c>
      <c r="B103" s="4" t="s">
        <v>37</v>
      </c>
      <c r="C103" s="4" t="s">
        <v>11</v>
      </c>
      <c r="D103" s="91">
        <f>IF(LEFT($A$99,5)="blank",0,D26/'Input Global'!D$19)</f>
        <v>0</v>
      </c>
      <c r="E103" s="91">
        <f>IF(LEFT($A$99,5)="blank",0,E26/'Input Global'!E$19)</f>
        <v>0</v>
      </c>
      <c r="F103" s="91">
        <f>IF(LEFT($A$99,5)="blank",0,F26/'Input Global'!F$19)</f>
        <v>0</v>
      </c>
      <c r="G103" s="91">
        <f>IF(LEFT($A$99,5)="blank",0,G26/'Input Global'!G$19)</f>
        <v>0</v>
      </c>
      <c r="H103" s="91">
        <f>IF(LEFT($A$99,5)="blank",0,H26/'Input Global'!H$19)</f>
        <v>0</v>
      </c>
    </row>
    <row r="104" spans="1:8" hidden="1" x14ac:dyDescent="0.3">
      <c r="A104" s="4" t="str">
        <f t="shared" si="11"/>
        <v>Retail and Residual</v>
      </c>
      <c r="B104" s="4" t="s">
        <v>37</v>
      </c>
      <c r="C104" s="4" t="s">
        <v>11</v>
      </c>
      <c r="D104" s="91">
        <f>IF(LEFT($A$99,5)="blank",0,D27/'Input Global'!D$19)</f>
        <v>0</v>
      </c>
      <c r="E104" s="91">
        <f>IF(LEFT($A$99,5)="blank",0,E27/'Input Global'!E$19)</f>
        <v>0</v>
      </c>
      <c r="F104" s="91">
        <f>IF(LEFT($A$99,5)="blank",0,F27/'Input Global'!F$19)</f>
        <v>0</v>
      </c>
      <c r="G104" s="91">
        <f>IF(LEFT($A$99,5)="blank",0,G27/'Input Global'!G$19)</f>
        <v>0</v>
      </c>
      <c r="H104" s="91">
        <f>IF(LEFT($A$99,5)="blank",0,H27/'Input Global'!H$19)</f>
        <v>0</v>
      </c>
    </row>
    <row r="105" spans="1:8" hidden="1" x14ac:dyDescent="0.3">
      <c r="A105" s="4" t="str">
        <f t="shared" si="11"/>
        <v>Green Schemes</v>
      </c>
      <c r="C105" s="4" t="s">
        <v>11</v>
      </c>
      <c r="D105" s="86"/>
      <c r="E105" s="86"/>
      <c r="F105" s="86"/>
      <c r="G105" s="86"/>
      <c r="H105" s="86"/>
    </row>
    <row r="106" spans="1:8" hidden="1" x14ac:dyDescent="0.3">
      <c r="A106" s="6" t="str">
        <f t="shared" si="11"/>
        <v>Feed-in Tariffs</v>
      </c>
      <c r="B106" s="4" t="s">
        <v>37</v>
      </c>
      <c r="C106" s="4" t="s">
        <v>11</v>
      </c>
      <c r="D106" s="91">
        <f>IF(LEFT($A$99,5)="blank",0,D29/'Input Global'!D$19)</f>
        <v>0</v>
      </c>
      <c r="E106" s="91">
        <f>IF(LEFT($A$99,5)="blank",0,E29/'Input Global'!E$19)</f>
        <v>0</v>
      </c>
      <c r="F106" s="91">
        <f>IF(LEFT($A$99,5)="blank",0,F29/'Input Global'!F$19)</f>
        <v>0</v>
      </c>
      <c r="G106" s="91">
        <f>IF(LEFT($A$99,5)="blank",0,G29/'Input Global'!G$19)</f>
        <v>0</v>
      </c>
      <c r="H106" s="91">
        <f>IF(LEFT($A$99,5)="blank",0,H29/'Input Global'!H$19)</f>
        <v>0</v>
      </c>
    </row>
    <row r="107" spans="1:8" hidden="1" x14ac:dyDescent="0.3">
      <c r="A107" s="6" t="str">
        <f t="shared" si="11"/>
        <v>Carbon costs</v>
      </c>
      <c r="B107" s="4" t="s">
        <v>37</v>
      </c>
      <c r="C107" s="4" t="s">
        <v>11</v>
      </c>
      <c r="D107" s="91">
        <f>IF(LEFT($A$99,5)="blank",0,D30/'Input Global'!D$19)</f>
        <v>0</v>
      </c>
      <c r="E107" s="91">
        <f>IF(LEFT($A$99,5)="blank",0,E30/'Input Global'!E$19)</f>
        <v>0</v>
      </c>
      <c r="F107" s="91">
        <f>IF(LEFT($A$99,5)="blank",0,F30/'Input Global'!F$19)</f>
        <v>0</v>
      </c>
      <c r="G107" s="91">
        <f>IF(LEFT($A$99,5)="blank",0,G30/'Input Global'!G$19)</f>
        <v>0</v>
      </c>
      <c r="H107" s="91">
        <f>IF(LEFT($A$99,5)="blank",0,H30/'Input Global'!H$19)</f>
        <v>0</v>
      </c>
    </row>
    <row r="108" spans="1:8" hidden="1" x14ac:dyDescent="0.3">
      <c r="A108" s="6" t="str">
        <f t="shared" si="11"/>
        <v>Large Scale Renewable Energy Target</v>
      </c>
      <c r="B108" s="4" t="s">
        <v>37</v>
      </c>
      <c r="C108" s="4" t="s">
        <v>11</v>
      </c>
      <c r="D108" s="91">
        <f>IF(LEFT($A$99,5)="blank",0,D31/'Input Global'!D$19)</f>
        <v>0</v>
      </c>
      <c r="E108" s="91">
        <f>IF(LEFT($A$99,5)="blank",0,E31/'Input Global'!E$19)</f>
        <v>0</v>
      </c>
      <c r="F108" s="91">
        <f>IF(LEFT($A$99,5)="blank",0,F31/'Input Global'!F$19)</f>
        <v>0</v>
      </c>
      <c r="G108" s="91">
        <f>IF(LEFT($A$99,5)="blank",0,G31/'Input Global'!G$19)</f>
        <v>0</v>
      </c>
      <c r="H108" s="91">
        <f>IF(LEFT($A$99,5)="blank",0,H31/'Input Global'!H$19)</f>
        <v>0</v>
      </c>
    </row>
    <row r="109" spans="1:8" hidden="1" x14ac:dyDescent="0.3">
      <c r="A109" s="6" t="str">
        <f t="shared" si="11"/>
        <v>Small Scale Renewable Energy Scheme</v>
      </c>
      <c r="B109" s="4" t="s">
        <v>37</v>
      </c>
      <c r="C109" s="4" t="s">
        <v>11</v>
      </c>
      <c r="D109" s="91">
        <f>IF(LEFT($A$99,5)="blank",0,D32/'Input Global'!D$19)</f>
        <v>0</v>
      </c>
      <c r="E109" s="91">
        <f>IF(LEFT($A$99,5)="blank",0,E32/'Input Global'!E$19)</f>
        <v>0</v>
      </c>
      <c r="F109" s="91">
        <f>IF(LEFT($A$99,5)="blank",0,F32/'Input Global'!F$19)</f>
        <v>0</v>
      </c>
      <c r="G109" s="91">
        <f>IF(LEFT($A$99,5)="blank",0,G32/'Input Global'!G$19)</f>
        <v>0</v>
      </c>
      <c r="H109" s="91">
        <f>IF(LEFT($A$99,5)="blank",0,H32/'Input Global'!H$19)</f>
        <v>0</v>
      </c>
    </row>
    <row r="110" spans="1:8" hidden="1" x14ac:dyDescent="0.3">
      <c r="A110" s="6" t="str">
        <f t="shared" si="11"/>
        <v>blank</v>
      </c>
      <c r="B110" s="4" t="s">
        <v>37</v>
      </c>
      <c r="C110" s="4" t="s">
        <v>11</v>
      </c>
      <c r="D110" s="91">
        <f>IF(LEFT($A$99,5)="blank",0,D33/'Input Global'!D$19)</f>
        <v>0</v>
      </c>
      <c r="E110" s="91">
        <f>IF(LEFT($A$99,5)="blank",0,E33/'Input Global'!E$19)</f>
        <v>0</v>
      </c>
      <c r="F110" s="91">
        <f>IF(LEFT($A$99,5)="blank",0,F33/'Input Global'!F$19)</f>
        <v>0</v>
      </c>
      <c r="G110" s="91">
        <f>IF(LEFT($A$99,5)="blank",0,G33/'Input Global'!G$19)</f>
        <v>0</v>
      </c>
      <c r="H110" s="91">
        <f>IF(LEFT($A$99,5)="blank",0,H33/'Input Global'!H$19)</f>
        <v>0</v>
      </c>
    </row>
    <row r="111" spans="1:8" hidden="1" x14ac:dyDescent="0.3">
      <c r="A111" s="6" t="str">
        <f t="shared" si="11"/>
        <v>blank</v>
      </c>
      <c r="B111" s="4" t="s">
        <v>37</v>
      </c>
      <c r="C111" s="4" t="s">
        <v>11</v>
      </c>
      <c r="D111" s="91">
        <f>IF(LEFT($A$99,5)="blank",0,D34/'Input Global'!D$19)</f>
        <v>0</v>
      </c>
      <c r="E111" s="91">
        <f>IF(LEFT($A$99,5)="blank",0,E34/'Input Global'!E$19)</f>
        <v>0</v>
      </c>
      <c r="F111" s="91">
        <f>IF(LEFT($A$99,5)="blank",0,F34/'Input Global'!F$19)</f>
        <v>0</v>
      </c>
      <c r="G111" s="91">
        <f>IF(LEFT($A$99,5)="blank",0,G34/'Input Global'!G$19)</f>
        <v>0</v>
      </c>
      <c r="H111" s="91">
        <f>IF(LEFT($A$99,5)="blank",0,H34/'Input Global'!H$19)</f>
        <v>0</v>
      </c>
    </row>
    <row r="112" spans="1:8" hidden="1" x14ac:dyDescent="0.3">
      <c r="A112" s="7" t="s">
        <v>55</v>
      </c>
      <c r="B112" s="7" t="s">
        <v>37</v>
      </c>
      <c r="C112" s="7" t="s">
        <v>11</v>
      </c>
      <c r="D112" s="91">
        <f>SUM(D100:D111)</f>
        <v>0</v>
      </c>
      <c r="E112" s="91">
        <f t="shared" ref="E112:H112" si="12">SUM(E100:E111)</f>
        <v>0</v>
      </c>
      <c r="F112" s="91">
        <f t="shared" si="12"/>
        <v>0</v>
      </c>
      <c r="G112" s="91">
        <f t="shared" si="12"/>
        <v>0</v>
      </c>
      <c r="H112" s="91">
        <f t="shared" si="12"/>
        <v>0</v>
      </c>
    </row>
    <row r="113" spans="1:8" hidden="1" x14ac:dyDescent="0.3">
      <c r="A113" s="118"/>
      <c r="B113" s="118"/>
      <c r="C113" s="118"/>
      <c r="D113" s="119"/>
      <c r="E113" s="119"/>
      <c r="F113" s="119"/>
      <c r="G113" s="119"/>
      <c r="H113" s="119"/>
    </row>
    <row r="114" spans="1:8" hidden="1" x14ac:dyDescent="0.3">
      <c r="A114" s="5" t="str">
        <f>Dist3</f>
        <v>blank</v>
      </c>
    </row>
    <row r="115" spans="1:8" hidden="1" x14ac:dyDescent="0.3">
      <c r="A115" s="4" t="str">
        <f>A100</f>
        <v>Wholesale</v>
      </c>
      <c r="B115" s="4" t="s">
        <v>37</v>
      </c>
      <c r="C115" s="4" t="s">
        <v>11</v>
      </c>
      <c r="D115" s="91">
        <f>IF(LEFT($A$114,5)="blank",0,D38/'Input Global'!D$20)</f>
        <v>0</v>
      </c>
      <c r="E115" s="91">
        <f>IF(LEFT($A$114,5)="blank",0,E38/'Input Global'!E$20)</f>
        <v>0</v>
      </c>
      <c r="F115" s="91">
        <f>IF(LEFT($A$114,5)="blank",0,F38/'Input Global'!F$20)</f>
        <v>0</v>
      </c>
      <c r="G115" s="91">
        <f>IF(LEFT($A$114,5)="blank",0,G38/'Input Global'!G$20)</f>
        <v>0</v>
      </c>
      <c r="H115" s="91">
        <f>IF(LEFT($A$114,5)="blank",0,H38/'Input Global'!H$20)</f>
        <v>0</v>
      </c>
    </row>
    <row r="116" spans="1:8" hidden="1" x14ac:dyDescent="0.3">
      <c r="A116" s="4" t="str">
        <f t="shared" ref="A116:A126" si="13">A101</f>
        <v>Transmission</v>
      </c>
      <c r="B116" s="4" t="s">
        <v>37</v>
      </c>
      <c r="C116" s="4" t="s">
        <v>11</v>
      </c>
      <c r="D116" s="91">
        <f>IF(LEFT($A$114,5)="blank",0,D39/'Input Global'!D$20)</f>
        <v>0</v>
      </c>
      <c r="E116" s="91">
        <f>IF(LEFT($A$114,5)="blank",0,E39/'Input Global'!E$20)</f>
        <v>0</v>
      </c>
      <c r="F116" s="91">
        <f>IF(LEFT($A$114,5)="blank",0,F39/'Input Global'!F$20)</f>
        <v>0</v>
      </c>
      <c r="G116" s="91">
        <f>IF(LEFT($A$114,5)="blank",0,G39/'Input Global'!G$20)</f>
        <v>0</v>
      </c>
      <c r="H116" s="91">
        <f>IF(LEFT($A$114,5)="blank",0,H39/'Input Global'!H$20)</f>
        <v>0</v>
      </c>
    </row>
    <row r="117" spans="1:8" hidden="1" x14ac:dyDescent="0.3">
      <c r="A117" s="4" t="str">
        <f t="shared" si="13"/>
        <v>Distribution</v>
      </c>
      <c r="B117" s="4" t="s">
        <v>37</v>
      </c>
      <c r="C117" s="4" t="s">
        <v>11</v>
      </c>
      <c r="D117" s="91">
        <f>IF(LEFT($A$114,5)="blank",0,D40/'Input Global'!D$20)</f>
        <v>0</v>
      </c>
      <c r="E117" s="91">
        <f>IF(LEFT($A$114,5)="blank",0,E40/'Input Global'!E$20)</f>
        <v>0</v>
      </c>
      <c r="F117" s="91">
        <f>IF(LEFT($A$114,5)="blank",0,F40/'Input Global'!F$20)</f>
        <v>0</v>
      </c>
      <c r="G117" s="91">
        <f>IF(LEFT($A$114,5)="blank",0,G40/'Input Global'!G$20)</f>
        <v>0</v>
      </c>
      <c r="H117" s="91">
        <f>IF(LEFT($A$114,5)="blank",0,H40/'Input Global'!H$20)</f>
        <v>0</v>
      </c>
    </row>
    <row r="118" spans="1:8" hidden="1" x14ac:dyDescent="0.3">
      <c r="A118" s="4" t="str">
        <f t="shared" si="13"/>
        <v>Retail</v>
      </c>
      <c r="B118" s="4" t="s">
        <v>37</v>
      </c>
      <c r="C118" s="4" t="s">
        <v>11</v>
      </c>
      <c r="D118" s="91">
        <f>IF(LEFT($A$114,5)="blank",0,D41/'Input Global'!D$20)</f>
        <v>0</v>
      </c>
      <c r="E118" s="91">
        <f>IF(LEFT($A$114,5)="blank",0,E41/'Input Global'!E$20)</f>
        <v>0</v>
      </c>
      <c r="F118" s="91">
        <f>IF(LEFT($A$114,5)="blank",0,F41/'Input Global'!F$20)</f>
        <v>0</v>
      </c>
      <c r="G118" s="91">
        <f>IF(LEFT($A$114,5)="blank",0,G41/'Input Global'!G$20)</f>
        <v>0</v>
      </c>
      <c r="H118" s="91">
        <f>IF(LEFT($A$114,5)="blank",0,H41/'Input Global'!H$20)</f>
        <v>0</v>
      </c>
    </row>
    <row r="119" spans="1:8" hidden="1" x14ac:dyDescent="0.3">
      <c r="A119" s="4" t="str">
        <f t="shared" si="13"/>
        <v>Retail and Residual</v>
      </c>
      <c r="B119" s="4" t="s">
        <v>37</v>
      </c>
      <c r="C119" s="4" t="s">
        <v>11</v>
      </c>
      <c r="D119" s="91">
        <f>IF(LEFT($A$114,5)="blank",0,D42/'Input Global'!D$20)</f>
        <v>0</v>
      </c>
      <c r="E119" s="91">
        <f>IF(LEFT($A$114,5)="blank",0,E42/'Input Global'!E$20)</f>
        <v>0</v>
      </c>
      <c r="F119" s="91">
        <f>IF(LEFT($A$114,5)="blank",0,F42/'Input Global'!F$20)</f>
        <v>0</v>
      </c>
      <c r="G119" s="91">
        <f>IF(LEFT($A$114,5)="blank",0,G42/'Input Global'!G$20)</f>
        <v>0</v>
      </c>
      <c r="H119" s="91">
        <f>IF(LEFT($A$114,5)="blank",0,H42/'Input Global'!H$20)</f>
        <v>0</v>
      </c>
    </row>
    <row r="120" spans="1:8" hidden="1" x14ac:dyDescent="0.3">
      <c r="A120" s="4" t="str">
        <f t="shared" si="13"/>
        <v>Green Schemes</v>
      </c>
      <c r="C120" s="4" t="s">
        <v>11</v>
      </c>
      <c r="D120" s="86"/>
      <c r="E120" s="86"/>
      <c r="F120" s="86"/>
      <c r="G120" s="86"/>
      <c r="H120" s="86"/>
    </row>
    <row r="121" spans="1:8" hidden="1" x14ac:dyDescent="0.3">
      <c r="A121" s="6" t="str">
        <f t="shared" si="13"/>
        <v>Feed-in Tariffs</v>
      </c>
      <c r="B121" s="4" t="s">
        <v>37</v>
      </c>
      <c r="C121" s="4" t="s">
        <v>11</v>
      </c>
      <c r="D121" s="91">
        <f>IF(LEFT($A$114,5)="blank",0,D44/'Input Global'!D$20)</f>
        <v>0</v>
      </c>
      <c r="E121" s="91">
        <f>IF(LEFT($A$114,5)="blank",0,E44/'Input Global'!E$20)</f>
        <v>0</v>
      </c>
      <c r="F121" s="91">
        <f>IF(LEFT($A$114,5)="blank",0,F44/'Input Global'!F$20)</f>
        <v>0</v>
      </c>
      <c r="G121" s="91">
        <f>IF(LEFT($A$114,5)="blank",0,G44/'Input Global'!G$20)</f>
        <v>0</v>
      </c>
      <c r="H121" s="91">
        <f>IF(LEFT($A$114,5)="blank",0,H44/'Input Global'!H$20)</f>
        <v>0</v>
      </c>
    </row>
    <row r="122" spans="1:8" hidden="1" x14ac:dyDescent="0.3">
      <c r="A122" s="6" t="str">
        <f t="shared" si="13"/>
        <v>Carbon costs</v>
      </c>
      <c r="B122" s="4" t="s">
        <v>37</v>
      </c>
      <c r="C122" s="4" t="s">
        <v>11</v>
      </c>
      <c r="D122" s="91">
        <f>IF(LEFT($A$114,5)="blank",0,D45/'Input Global'!D$20)</f>
        <v>0</v>
      </c>
      <c r="E122" s="91">
        <f>IF(LEFT($A$114,5)="blank",0,E45/'Input Global'!E$20)</f>
        <v>0</v>
      </c>
      <c r="F122" s="91">
        <f>IF(LEFT($A$114,5)="blank",0,F45/'Input Global'!F$20)</f>
        <v>0</v>
      </c>
      <c r="G122" s="91">
        <f>IF(LEFT($A$114,5)="blank",0,G45/'Input Global'!G$20)</f>
        <v>0</v>
      </c>
      <c r="H122" s="91">
        <f>IF(LEFT($A$114,5)="blank",0,H45/'Input Global'!H$20)</f>
        <v>0</v>
      </c>
    </row>
    <row r="123" spans="1:8" hidden="1" x14ac:dyDescent="0.3">
      <c r="A123" s="6" t="str">
        <f t="shared" si="13"/>
        <v>Large Scale Renewable Energy Target</v>
      </c>
      <c r="B123" s="4" t="s">
        <v>37</v>
      </c>
      <c r="C123" s="4" t="s">
        <v>11</v>
      </c>
      <c r="D123" s="91">
        <f>IF(LEFT($A$114,5)="blank",0,D46/'Input Global'!D$20)</f>
        <v>0</v>
      </c>
      <c r="E123" s="91">
        <f>IF(LEFT($A$114,5)="blank",0,E46/'Input Global'!E$20)</f>
        <v>0</v>
      </c>
      <c r="F123" s="91">
        <f>IF(LEFT($A$114,5)="blank",0,F46/'Input Global'!F$20)</f>
        <v>0</v>
      </c>
      <c r="G123" s="91">
        <f>IF(LEFT($A$114,5)="blank",0,G46/'Input Global'!G$20)</f>
        <v>0</v>
      </c>
      <c r="H123" s="91">
        <f>IF(LEFT($A$114,5)="blank",0,H46/'Input Global'!H$20)</f>
        <v>0</v>
      </c>
    </row>
    <row r="124" spans="1:8" hidden="1" x14ac:dyDescent="0.3">
      <c r="A124" s="6" t="str">
        <f t="shared" si="13"/>
        <v>Small Scale Renewable Energy Scheme</v>
      </c>
      <c r="B124" s="4" t="s">
        <v>37</v>
      </c>
      <c r="C124" s="4" t="s">
        <v>11</v>
      </c>
      <c r="D124" s="91">
        <f>IF(LEFT($A$114,5)="blank",0,D47/'Input Global'!D$20)</f>
        <v>0</v>
      </c>
      <c r="E124" s="91">
        <f>IF(LEFT($A$114,5)="blank",0,E47/'Input Global'!E$20)</f>
        <v>0</v>
      </c>
      <c r="F124" s="91">
        <f>IF(LEFT($A$114,5)="blank",0,F47/'Input Global'!F$20)</f>
        <v>0</v>
      </c>
      <c r="G124" s="91">
        <f>IF(LEFT($A$114,5)="blank",0,G47/'Input Global'!G$20)</f>
        <v>0</v>
      </c>
      <c r="H124" s="91">
        <f>IF(LEFT($A$114,5)="blank",0,H47/'Input Global'!H$20)</f>
        <v>0</v>
      </c>
    </row>
    <row r="125" spans="1:8" hidden="1" x14ac:dyDescent="0.3">
      <c r="A125" s="6" t="str">
        <f t="shared" si="13"/>
        <v>blank</v>
      </c>
      <c r="B125" s="4" t="s">
        <v>37</v>
      </c>
      <c r="C125" s="4" t="s">
        <v>11</v>
      </c>
      <c r="D125" s="91">
        <f>IF(LEFT($A$114,5)="blank",0,D48/'Input Global'!D$20)</f>
        <v>0</v>
      </c>
      <c r="E125" s="91">
        <f>IF(LEFT($A$114,5)="blank",0,E48/'Input Global'!E$20)</f>
        <v>0</v>
      </c>
      <c r="F125" s="91">
        <f>IF(LEFT($A$114,5)="blank",0,F48/'Input Global'!F$20)</f>
        <v>0</v>
      </c>
      <c r="G125" s="91">
        <f>IF(LEFT($A$114,5)="blank",0,G48/'Input Global'!G$20)</f>
        <v>0</v>
      </c>
      <c r="H125" s="91">
        <f>IF(LEFT($A$114,5)="blank",0,H48/'Input Global'!H$20)</f>
        <v>0</v>
      </c>
    </row>
    <row r="126" spans="1:8" hidden="1" x14ac:dyDescent="0.3">
      <c r="A126" s="6" t="str">
        <f t="shared" si="13"/>
        <v>blank</v>
      </c>
      <c r="B126" s="4" t="s">
        <v>37</v>
      </c>
      <c r="C126" s="4" t="s">
        <v>11</v>
      </c>
      <c r="D126" s="91">
        <f>IF(LEFT($A$114,5)="blank",0,D49/'Input Global'!D$20)</f>
        <v>0</v>
      </c>
      <c r="E126" s="91">
        <f>IF(LEFT($A$114,5)="blank",0,E49/'Input Global'!E$20)</f>
        <v>0</v>
      </c>
      <c r="F126" s="91">
        <f>IF(LEFT($A$114,5)="blank",0,F49/'Input Global'!F$20)</f>
        <v>0</v>
      </c>
      <c r="G126" s="91">
        <f>IF(LEFT($A$114,5)="blank",0,G49/'Input Global'!G$20)</f>
        <v>0</v>
      </c>
      <c r="H126" s="91">
        <f>IF(LEFT($A$114,5)="blank",0,H49/'Input Global'!H$20)</f>
        <v>0</v>
      </c>
    </row>
    <row r="127" spans="1:8" hidden="1" x14ac:dyDescent="0.3">
      <c r="A127" s="7" t="s">
        <v>55</v>
      </c>
      <c r="B127" s="7" t="s">
        <v>37</v>
      </c>
      <c r="C127" s="7" t="s">
        <v>11</v>
      </c>
      <c r="D127" s="91">
        <f>SUM(D115:D126)</f>
        <v>0</v>
      </c>
      <c r="E127" s="91">
        <f t="shared" ref="E127:H127" si="14">SUM(E115:E126)</f>
        <v>0</v>
      </c>
      <c r="F127" s="91">
        <f t="shared" si="14"/>
        <v>0</v>
      </c>
      <c r="G127" s="91">
        <f t="shared" si="14"/>
        <v>0</v>
      </c>
      <c r="H127" s="91">
        <f t="shared" si="14"/>
        <v>0</v>
      </c>
    </row>
    <row r="128" spans="1:8" hidden="1" x14ac:dyDescent="0.3">
      <c r="A128" s="118"/>
      <c r="B128" s="118"/>
      <c r="C128" s="118"/>
      <c r="D128" s="119"/>
      <c r="E128" s="119"/>
      <c r="F128" s="119"/>
      <c r="G128" s="119"/>
      <c r="H128" s="119"/>
    </row>
    <row r="129" spans="1:8" hidden="1" x14ac:dyDescent="0.3">
      <c r="A129" s="5" t="str">
        <f>Dist4</f>
        <v>blank</v>
      </c>
    </row>
    <row r="130" spans="1:8" hidden="1" x14ac:dyDescent="0.3">
      <c r="A130" s="4" t="str">
        <f>A115</f>
        <v>Wholesale</v>
      </c>
      <c r="B130" s="4" t="s">
        <v>37</v>
      </c>
      <c r="C130" s="4" t="s">
        <v>11</v>
      </c>
      <c r="D130" s="91">
        <f>IF(LEFT($A$129,5)="blank",0,D53/'Input Global'!D$21)</f>
        <v>0</v>
      </c>
      <c r="E130" s="91">
        <f>IF(LEFT($A$129,5)="blank",0,E53/'Input Global'!E$21)</f>
        <v>0</v>
      </c>
      <c r="F130" s="91">
        <f>IF(LEFT($A$129,5)="blank",0,F53/'Input Global'!F$21)</f>
        <v>0</v>
      </c>
      <c r="G130" s="91">
        <f>IF(LEFT($A$129,5)="blank",0,G53/'Input Global'!G$21)</f>
        <v>0</v>
      </c>
      <c r="H130" s="91">
        <f>IF(LEFT($A$129,5)="blank",0,H53/'Input Global'!H$21)</f>
        <v>0</v>
      </c>
    </row>
    <row r="131" spans="1:8" hidden="1" x14ac:dyDescent="0.3">
      <c r="A131" s="4" t="str">
        <f t="shared" ref="A131:A141" si="15">A116</f>
        <v>Transmission</v>
      </c>
      <c r="B131" s="4" t="s">
        <v>37</v>
      </c>
      <c r="C131" s="4" t="s">
        <v>11</v>
      </c>
      <c r="D131" s="91">
        <f>IF(LEFT($A$129,5)="blank",0,D54/'Input Global'!D$21)</f>
        <v>0</v>
      </c>
      <c r="E131" s="91">
        <f>IF(LEFT($A$129,5)="blank",0,E54/'Input Global'!E$21)</f>
        <v>0</v>
      </c>
      <c r="F131" s="91">
        <f>IF(LEFT($A$129,5)="blank",0,F54/'Input Global'!F$21)</f>
        <v>0</v>
      </c>
      <c r="G131" s="91">
        <f>IF(LEFT($A$129,5)="blank",0,G54/'Input Global'!G$21)</f>
        <v>0</v>
      </c>
      <c r="H131" s="91">
        <f>IF(LEFT($A$129,5)="blank",0,H54/'Input Global'!H$21)</f>
        <v>0</v>
      </c>
    </row>
    <row r="132" spans="1:8" hidden="1" x14ac:dyDescent="0.3">
      <c r="A132" s="4" t="str">
        <f t="shared" si="15"/>
        <v>Distribution</v>
      </c>
      <c r="B132" s="4" t="s">
        <v>37</v>
      </c>
      <c r="C132" s="4" t="s">
        <v>11</v>
      </c>
      <c r="D132" s="91">
        <f>IF(LEFT($A$129,5)="blank",0,D55/'Input Global'!D$21)</f>
        <v>0</v>
      </c>
      <c r="E132" s="91">
        <f>IF(LEFT($A$129,5)="blank",0,E55/'Input Global'!E$21)</f>
        <v>0</v>
      </c>
      <c r="F132" s="91">
        <f>IF(LEFT($A$129,5)="blank",0,F55/'Input Global'!F$21)</f>
        <v>0</v>
      </c>
      <c r="G132" s="91">
        <f>IF(LEFT($A$129,5)="blank",0,G55/'Input Global'!G$21)</f>
        <v>0</v>
      </c>
      <c r="H132" s="91">
        <f>IF(LEFT($A$129,5)="blank",0,H55/'Input Global'!H$21)</f>
        <v>0</v>
      </c>
    </row>
    <row r="133" spans="1:8" hidden="1" x14ac:dyDescent="0.3">
      <c r="A133" s="4" t="str">
        <f t="shared" si="15"/>
        <v>Retail</v>
      </c>
      <c r="B133" s="4" t="s">
        <v>37</v>
      </c>
      <c r="C133" s="4" t="s">
        <v>11</v>
      </c>
      <c r="D133" s="91">
        <f>IF(LEFT($A$129,5)="blank",0,D56/'Input Global'!D$21)</f>
        <v>0</v>
      </c>
      <c r="E133" s="91">
        <f>IF(LEFT($A$129,5)="blank",0,E56/'Input Global'!E$21)</f>
        <v>0</v>
      </c>
      <c r="F133" s="91">
        <f>IF(LEFT($A$129,5)="blank",0,F56/'Input Global'!F$21)</f>
        <v>0</v>
      </c>
      <c r="G133" s="91">
        <f>IF(LEFT($A$129,5)="blank",0,G56/'Input Global'!G$21)</f>
        <v>0</v>
      </c>
      <c r="H133" s="91">
        <f>IF(LEFT($A$129,5)="blank",0,H56/'Input Global'!H$21)</f>
        <v>0</v>
      </c>
    </row>
    <row r="134" spans="1:8" hidden="1" x14ac:dyDescent="0.3">
      <c r="A134" s="4" t="str">
        <f t="shared" si="15"/>
        <v>Retail and Residual</v>
      </c>
      <c r="B134" s="4" t="s">
        <v>37</v>
      </c>
      <c r="C134" s="4" t="s">
        <v>11</v>
      </c>
      <c r="D134" s="91">
        <f>IF(LEFT($A$129,5)="blank",0,D57/'Input Global'!D$21)</f>
        <v>0</v>
      </c>
      <c r="E134" s="91">
        <f>IF(LEFT($A$129,5)="blank",0,E57/'Input Global'!E$21)</f>
        <v>0</v>
      </c>
      <c r="F134" s="91">
        <f>IF(LEFT($A$129,5)="blank",0,F57/'Input Global'!F$21)</f>
        <v>0</v>
      </c>
      <c r="G134" s="91">
        <f>IF(LEFT($A$129,5)="blank",0,G57/'Input Global'!G$21)</f>
        <v>0</v>
      </c>
      <c r="H134" s="91">
        <f>IF(LEFT($A$129,5)="blank",0,H57/'Input Global'!H$21)</f>
        <v>0</v>
      </c>
    </row>
    <row r="135" spans="1:8" hidden="1" x14ac:dyDescent="0.3">
      <c r="A135" s="4" t="str">
        <f t="shared" si="15"/>
        <v>Green Schemes</v>
      </c>
      <c r="C135" s="4" t="s">
        <v>11</v>
      </c>
      <c r="D135" s="86"/>
      <c r="E135" s="86"/>
      <c r="F135" s="86"/>
      <c r="G135" s="86"/>
      <c r="H135" s="86"/>
    </row>
    <row r="136" spans="1:8" hidden="1" x14ac:dyDescent="0.3">
      <c r="A136" s="6" t="str">
        <f t="shared" si="15"/>
        <v>Feed-in Tariffs</v>
      </c>
      <c r="B136" s="4" t="s">
        <v>37</v>
      </c>
      <c r="C136" s="4" t="s">
        <v>11</v>
      </c>
      <c r="D136" s="91">
        <f>IF(LEFT($A$129,5)="blank",0,D59/'Input Global'!D$21)</f>
        <v>0</v>
      </c>
      <c r="E136" s="91">
        <f>IF(LEFT($A$129,5)="blank",0,E59/'Input Global'!E$21)</f>
        <v>0</v>
      </c>
      <c r="F136" s="91">
        <f>IF(LEFT($A$129,5)="blank",0,F59/'Input Global'!F$21)</f>
        <v>0</v>
      </c>
      <c r="G136" s="91">
        <f>IF(LEFT($A$129,5)="blank",0,G59/'Input Global'!G$21)</f>
        <v>0</v>
      </c>
      <c r="H136" s="91">
        <f>IF(LEFT($A$129,5)="blank",0,H59/'Input Global'!H$21)</f>
        <v>0</v>
      </c>
    </row>
    <row r="137" spans="1:8" hidden="1" x14ac:dyDescent="0.3">
      <c r="A137" s="6" t="str">
        <f t="shared" si="15"/>
        <v>Carbon costs</v>
      </c>
      <c r="B137" s="4" t="s">
        <v>37</v>
      </c>
      <c r="C137" s="4" t="s">
        <v>11</v>
      </c>
      <c r="D137" s="91">
        <f>IF(LEFT($A$129,5)="blank",0,D60/'Input Global'!D$21)</f>
        <v>0</v>
      </c>
      <c r="E137" s="91">
        <f>IF(LEFT($A$129,5)="blank",0,E60/'Input Global'!E$21)</f>
        <v>0</v>
      </c>
      <c r="F137" s="91">
        <f>IF(LEFT($A$129,5)="blank",0,F60/'Input Global'!F$21)</f>
        <v>0</v>
      </c>
      <c r="G137" s="91">
        <f>IF(LEFT($A$129,5)="blank",0,G60/'Input Global'!G$21)</f>
        <v>0</v>
      </c>
      <c r="H137" s="91">
        <f>IF(LEFT($A$129,5)="blank",0,H60/'Input Global'!H$21)</f>
        <v>0</v>
      </c>
    </row>
    <row r="138" spans="1:8" hidden="1" x14ac:dyDescent="0.3">
      <c r="A138" s="6" t="str">
        <f t="shared" si="15"/>
        <v>Large Scale Renewable Energy Target</v>
      </c>
      <c r="B138" s="4" t="s">
        <v>37</v>
      </c>
      <c r="C138" s="4" t="s">
        <v>11</v>
      </c>
      <c r="D138" s="91">
        <f>IF(LEFT($A$129,5)="blank",0,D61/'Input Global'!D$21)</f>
        <v>0</v>
      </c>
      <c r="E138" s="91">
        <f>IF(LEFT($A$129,5)="blank",0,E61/'Input Global'!E$21)</f>
        <v>0</v>
      </c>
      <c r="F138" s="91">
        <f>IF(LEFT($A$129,5)="blank",0,F61/'Input Global'!F$21)</f>
        <v>0</v>
      </c>
      <c r="G138" s="91">
        <f>IF(LEFT($A$129,5)="blank",0,G61/'Input Global'!G$21)</f>
        <v>0</v>
      </c>
      <c r="H138" s="91">
        <f>IF(LEFT($A$129,5)="blank",0,H61/'Input Global'!H$21)</f>
        <v>0</v>
      </c>
    </row>
    <row r="139" spans="1:8" hidden="1" x14ac:dyDescent="0.3">
      <c r="A139" s="6" t="str">
        <f t="shared" si="15"/>
        <v>Small Scale Renewable Energy Scheme</v>
      </c>
      <c r="B139" s="4" t="s">
        <v>37</v>
      </c>
      <c r="C139" s="4" t="s">
        <v>11</v>
      </c>
      <c r="D139" s="91">
        <f>IF(LEFT($A$129,5)="blank",0,D62/'Input Global'!D$21)</f>
        <v>0</v>
      </c>
      <c r="E139" s="91">
        <f>IF(LEFT($A$129,5)="blank",0,E62/'Input Global'!E$21)</f>
        <v>0</v>
      </c>
      <c r="F139" s="91">
        <f>IF(LEFT($A$129,5)="blank",0,F62/'Input Global'!F$21)</f>
        <v>0</v>
      </c>
      <c r="G139" s="91">
        <f>IF(LEFT($A$129,5)="blank",0,G62/'Input Global'!G$21)</f>
        <v>0</v>
      </c>
      <c r="H139" s="91">
        <f>IF(LEFT($A$129,5)="blank",0,H62/'Input Global'!H$21)</f>
        <v>0</v>
      </c>
    </row>
    <row r="140" spans="1:8" hidden="1" x14ac:dyDescent="0.3">
      <c r="A140" s="6" t="str">
        <f t="shared" si="15"/>
        <v>blank</v>
      </c>
      <c r="B140" s="4" t="s">
        <v>37</v>
      </c>
      <c r="C140" s="4" t="s">
        <v>11</v>
      </c>
      <c r="D140" s="91">
        <f>IF(LEFT($A$129,5)="blank",0,D63/'Input Global'!D$21)</f>
        <v>0</v>
      </c>
      <c r="E140" s="91">
        <f>IF(LEFT($A$129,5)="blank",0,E63/'Input Global'!E$21)</f>
        <v>0</v>
      </c>
      <c r="F140" s="91">
        <f>IF(LEFT($A$129,5)="blank",0,F63/'Input Global'!F$21)</f>
        <v>0</v>
      </c>
      <c r="G140" s="91">
        <f>IF(LEFT($A$129,5)="blank",0,G63/'Input Global'!G$21)</f>
        <v>0</v>
      </c>
      <c r="H140" s="91">
        <f>IF(LEFT($A$129,5)="blank",0,H63/'Input Global'!H$21)</f>
        <v>0</v>
      </c>
    </row>
    <row r="141" spans="1:8" hidden="1" x14ac:dyDescent="0.3">
      <c r="A141" s="6" t="str">
        <f t="shared" si="15"/>
        <v>blank</v>
      </c>
      <c r="B141" s="4" t="s">
        <v>37</v>
      </c>
      <c r="C141" s="4" t="s">
        <v>11</v>
      </c>
      <c r="D141" s="91">
        <f>IF(LEFT($A$129,5)="blank",0,D64/'Input Global'!D$21)</f>
        <v>0</v>
      </c>
      <c r="E141" s="91">
        <f>IF(LEFT($A$129,5)="blank",0,E64/'Input Global'!E$21)</f>
        <v>0</v>
      </c>
      <c r="F141" s="91">
        <f>IF(LEFT($A$129,5)="blank",0,F64/'Input Global'!F$21)</f>
        <v>0</v>
      </c>
      <c r="G141" s="91">
        <f>IF(LEFT($A$129,5)="blank",0,G64/'Input Global'!G$21)</f>
        <v>0</v>
      </c>
      <c r="H141" s="91">
        <f>IF(LEFT($A$129,5)="blank",0,H64/'Input Global'!H$21)</f>
        <v>0</v>
      </c>
    </row>
    <row r="142" spans="1:8" hidden="1" x14ac:dyDescent="0.3">
      <c r="A142" s="7" t="s">
        <v>55</v>
      </c>
      <c r="B142" s="7" t="s">
        <v>37</v>
      </c>
      <c r="C142" s="7" t="s">
        <v>11</v>
      </c>
      <c r="D142" s="91">
        <f>SUM(D130:D141)</f>
        <v>0</v>
      </c>
      <c r="E142" s="91">
        <f t="shared" ref="E142:H142" si="16">SUM(E130:E141)</f>
        <v>0</v>
      </c>
      <c r="F142" s="91">
        <f t="shared" si="16"/>
        <v>0</v>
      </c>
      <c r="G142" s="91">
        <f t="shared" si="16"/>
        <v>0</v>
      </c>
      <c r="H142" s="91">
        <f t="shared" si="16"/>
        <v>0</v>
      </c>
    </row>
    <row r="143" spans="1:8" hidden="1" x14ac:dyDescent="0.3"/>
    <row r="144" spans="1:8" hidden="1" x14ac:dyDescent="0.3">
      <c r="A144" s="5" t="str">
        <f>Dist5</f>
        <v>blank</v>
      </c>
    </row>
    <row r="145" spans="1:8" hidden="1" x14ac:dyDescent="0.3">
      <c r="A145" s="4" t="str">
        <f>A130</f>
        <v>Wholesale</v>
      </c>
      <c r="B145" s="4" t="s">
        <v>37</v>
      </c>
      <c r="C145" s="4" t="s">
        <v>11</v>
      </c>
      <c r="D145" s="91">
        <f>IF(LEFT($A$144,5)="blank",0,D68/'Input Global'!D$22)</f>
        <v>0</v>
      </c>
      <c r="E145" s="91">
        <f>IF(LEFT($A$144,5)="blank",0,E68/'Input Global'!E$22)</f>
        <v>0</v>
      </c>
      <c r="F145" s="91">
        <f>IF(LEFT($A$144,5)="blank",0,F68/'Input Global'!F$22)</f>
        <v>0</v>
      </c>
      <c r="G145" s="91">
        <f>IF(LEFT($A$144,5)="blank",0,G68/'Input Global'!G$22)</f>
        <v>0</v>
      </c>
      <c r="H145" s="91">
        <f>IF(LEFT($A$144,5)="blank",0,H68/'Input Global'!H$22)</f>
        <v>0</v>
      </c>
    </row>
    <row r="146" spans="1:8" hidden="1" x14ac:dyDescent="0.3">
      <c r="A146" s="4" t="str">
        <f t="shared" ref="A146:A156" si="17">A131</f>
        <v>Transmission</v>
      </c>
      <c r="B146" s="4" t="s">
        <v>37</v>
      </c>
      <c r="C146" s="4" t="s">
        <v>11</v>
      </c>
      <c r="D146" s="91">
        <f>IF(LEFT($A$144,5)="blank",0,D69/'Input Global'!D$22)</f>
        <v>0</v>
      </c>
      <c r="E146" s="91">
        <f>IF(LEFT($A$144,5)="blank",0,E69/'Input Global'!E$22)</f>
        <v>0</v>
      </c>
      <c r="F146" s="91">
        <f>IF(LEFT($A$144,5)="blank",0,F69/'Input Global'!F$22)</f>
        <v>0</v>
      </c>
      <c r="G146" s="91">
        <f>IF(LEFT($A$144,5)="blank",0,G69/'Input Global'!G$22)</f>
        <v>0</v>
      </c>
      <c r="H146" s="91">
        <f>IF(LEFT($A$144,5)="blank",0,H69/'Input Global'!H$22)</f>
        <v>0</v>
      </c>
    </row>
    <row r="147" spans="1:8" hidden="1" x14ac:dyDescent="0.3">
      <c r="A147" s="4" t="str">
        <f t="shared" si="17"/>
        <v>Distribution</v>
      </c>
      <c r="B147" s="4" t="s">
        <v>37</v>
      </c>
      <c r="C147" s="4" t="s">
        <v>11</v>
      </c>
      <c r="D147" s="91">
        <f>IF(LEFT($A$144,5)="blank",0,D70/'Input Global'!D$22)</f>
        <v>0</v>
      </c>
      <c r="E147" s="91">
        <f>IF(LEFT($A$144,5)="blank",0,E70/'Input Global'!E$22)</f>
        <v>0</v>
      </c>
      <c r="F147" s="91">
        <f>IF(LEFT($A$144,5)="blank",0,F70/'Input Global'!F$22)</f>
        <v>0</v>
      </c>
      <c r="G147" s="91">
        <f>IF(LEFT($A$144,5)="blank",0,G70/'Input Global'!G$22)</f>
        <v>0</v>
      </c>
      <c r="H147" s="91">
        <f>IF(LEFT($A$144,5)="blank",0,H70/'Input Global'!H$22)</f>
        <v>0</v>
      </c>
    </row>
    <row r="148" spans="1:8" hidden="1" x14ac:dyDescent="0.3">
      <c r="A148" s="4" t="str">
        <f t="shared" si="17"/>
        <v>Retail</v>
      </c>
      <c r="B148" s="4" t="s">
        <v>37</v>
      </c>
      <c r="C148" s="4" t="s">
        <v>11</v>
      </c>
      <c r="D148" s="91">
        <f>IF(LEFT($A$144,5)="blank",0,D71/'Input Global'!D$22)</f>
        <v>0</v>
      </c>
      <c r="E148" s="91">
        <f>IF(LEFT($A$144,5)="blank",0,E71/'Input Global'!E$22)</f>
        <v>0</v>
      </c>
      <c r="F148" s="91">
        <f>IF(LEFT($A$144,5)="blank",0,F71/'Input Global'!F$22)</f>
        <v>0</v>
      </c>
      <c r="G148" s="91">
        <f>IF(LEFT($A$144,5)="blank",0,G71/'Input Global'!G$22)</f>
        <v>0</v>
      </c>
      <c r="H148" s="91">
        <f>IF(LEFT($A$144,5)="blank",0,H71/'Input Global'!H$22)</f>
        <v>0</v>
      </c>
    </row>
    <row r="149" spans="1:8" hidden="1" x14ac:dyDescent="0.3">
      <c r="A149" s="4" t="str">
        <f t="shared" si="17"/>
        <v>Retail and Residual</v>
      </c>
      <c r="B149" s="4" t="s">
        <v>37</v>
      </c>
      <c r="C149" s="4" t="s">
        <v>11</v>
      </c>
      <c r="D149" s="91">
        <f>IF(LEFT($A$144,5)="blank",0,D72/'Input Global'!D$22)</f>
        <v>0</v>
      </c>
      <c r="E149" s="91">
        <f>IF(LEFT($A$144,5)="blank",0,E72/'Input Global'!E$22)</f>
        <v>0</v>
      </c>
      <c r="F149" s="91">
        <f>IF(LEFT($A$144,5)="blank",0,F72/'Input Global'!F$22)</f>
        <v>0</v>
      </c>
      <c r="G149" s="91">
        <f>IF(LEFT($A$144,5)="blank",0,G72/'Input Global'!G$22)</f>
        <v>0</v>
      </c>
      <c r="H149" s="91">
        <f>IF(LEFT($A$144,5)="blank",0,H72/'Input Global'!H$22)</f>
        <v>0</v>
      </c>
    </row>
    <row r="150" spans="1:8" hidden="1" x14ac:dyDescent="0.3">
      <c r="A150" s="4" t="str">
        <f t="shared" si="17"/>
        <v>Green Schemes</v>
      </c>
      <c r="C150" s="4" t="s">
        <v>11</v>
      </c>
      <c r="D150" s="86"/>
      <c r="E150" s="86"/>
      <c r="F150" s="86"/>
      <c r="G150" s="86"/>
      <c r="H150" s="86"/>
    </row>
    <row r="151" spans="1:8" hidden="1" x14ac:dyDescent="0.3">
      <c r="A151" s="6" t="str">
        <f t="shared" si="17"/>
        <v>Feed-in Tariffs</v>
      </c>
      <c r="B151" s="4" t="s">
        <v>37</v>
      </c>
      <c r="C151" s="4" t="s">
        <v>11</v>
      </c>
      <c r="D151" s="91">
        <f>IF(LEFT($A$144,5)="blank",0,D74/'Input Global'!D$22)</f>
        <v>0</v>
      </c>
      <c r="E151" s="91">
        <f>IF(LEFT($A$144,5)="blank",0,E74/'Input Global'!E$22)</f>
        <v>0</v>
      </c>
      <c r="F151" s="91">
        <f>IF(LEFT($A$144,5)="blank",0,F74/'Input Global'!F$22)</f>
        <v>0</v>
      </c>
      <c r="G151" s="91">
        <f>IF(LEFT($A$144,5)="blank",0,G74/'Input Global'!G$22)</f>
        <v>0</v>
      </c>
      <c r="H151" s="91">
        <f>IF(LEFT($A$144,5)="blank",0,H74/'Input Global'!H$22)</f>
        <v>0</v>
      </c>
    </row>
    <row r="152" spans="1:8" hidden="1" x14ac:dyDescent="0.3">
      <c r="A152" s="6" t="str">
        <f t="shared" si="17"/>
        <v>Carbon costs</v>
      </c>
      <c r="B152" s="4" t="s">
        <v>37</v>
      </c>
      <c r="C152" s="4" t="s">
        <v>11</v>
      </c>
      <c r="D152" s="91">
        <f>IF(LEFT($A$144,5)="blank",0,D75/'Input Global'!D$22)</f>
        <v>0</v>
      </c>
      <c r="E152" s="91">
        <f>IF(LEFT($A$144,5)="blank",0,E75/'Input Global'!E$22)</f>
        <v>0</v>
      </c>
      <c r="F152" s="91">
        <f>IF(LEFT($A$144,5)="blank",0,F75/'Input Global'!F$22)</f>
        <v>0</v>
      </c>
      <c r="G152" s="91">
        <f>IF(LEFT($A$144,5)="blank",0,G75/'Input Global'!G$22)</f>
        <v>0</v>
      </c>
      <c r="H152" s="91">
        <f>IF(LEFT($A$144,5)="blank",0,H75/'Input Global'!H$22)</f>
        <v>0</v>
      </c>
    </row>
    <row r="153" spans="1:8" hidden="1" x14ac:dyDescent="0.3">
      <c r="A153" s="6" t="str">
        <f t="shared" si="17"/>
        <v>Large Scale Renewable Energy Target</v>
      </c>
      <c r="B153" s="4" t="s">
        <v>37</v>
      </c>
      <c r="C153" s="4" t="s">
        <v>11</v>
      </c>
      <c r="D153" s="91">
        <f>IF(LEFT($A$144,5)="blank",0,D76/'Input Global'!D$22)</f>
        <v>0</v>
      </c>
      <c r="E153" s="91">
        <f>IF(LEFT($A$144,5)="blank",0,E76/'Input Global'!E$22)</f>
        <v>0</v>
      </c>
      <c r="F153" s="91">
        <f>IF(LEFT($A$144,5)="blank",0,F76/'Input Global'!F$22)</f>
        <v>0</v>
      </c>
      <c r="G153" s="91">
        <f>IF(LEFT($A$144,5)="blank",0,G76/'Input Global'!G$22)</f>
        <v>0</v>
      </c>
      <c r="H153" s="91">
        <f>IF(LEFT($A$144,5)="blank",0,H76/'Input Global'!H$22)</f>
        <v>0</v>
      </c>
    </row>
    <row r="154" spans="1:8" hidden="1" x14ac:dyDescent="0.3">
      <c r="A154" s="6" t="str">
        <f t="shared" si="17"/>
        <v>Small Scale Renewable Energy Scheme</v>
      </c>
      <c r="B154" s="4" t="s">
        <v>37</v>
      </c>
      <c r="C154" s="4" t="s">
        <v>11</v>
      </c>
      <c r="D154" s="91">
        <f>IF(LEFT($A$144,5)="blank",0,D77/'Input Global'!D$22)</f>
        <v>0</v>
      </c>
      <c r="E154" s="91">
        <f>IF(LEFT($A$144,5)="blank",0,E77/'Input Global'!E$22)</f>
        <v>0</v>
      </c>
      <c r="F154" s="91">
        <f>IF(LEFT($A$144,5)="blank",0,F77/'Input Global'!F$22)</f>
        <v>0</v>
      </c>
      <c r="G154" s="91">
        <f>IF(LEFT($A$144,5)="blank",0,G77/'Input Global'!G$22)</f>
        <v>0</v>
      </c>
      <c r="H154" s="91">
        <f>IF(LEFT($A$144,5)="blank",0,H77/'Input Global'!H$22)</f>
        <v>0</v>
      </c>
    </row>
    <row r="155" spans="1:8" hidden="1" x14ac:dyDescent="0.3">
      <c r="A155" s="6" t="str">
        <f t="shared" si="17"/>
        <v>blank</v>
      </c>
      <c r="B155" s="4" t="s">
        <v>37</v>
      </c>
      <c r="C155" s="4" t="s">
        <v>11</v>
      </c>
      <c r="D155" s="91">
        <f>IF(LEFT($A$144,5)="blank",0,D78/'Input Global'!D$22)</f>
        <v>0</v>
      </c>
      <c r="E155" s="91">
        <f>IF(LEFT($A$144,5)="blank",0,E78/'Input Global'!E$22)</f>
        <v>0</v>
      </c>
      <c r="F155" s="91">
        <f>IF(LEFT($A$144,5)="blank",0,F78/'Input Global'!F$22)</f>
        <v>0</v>
      </c>
      <c r="G155" s="91">
        <f>IF(LEFT($A$144,5)="blank",0,G78/'Input Global'!G$22)</f>
        <v>0</v>
      </c>
      <c r="H155" s="91">
        <f>IF(LEFT($A$144,5)="blank",0,H78/'Input Global'!H$22)</f>
        <v>0</v>
      </c>
    </row>
    <row r="156" spans="1:8" hidden="1" x14ac:dyDescent="0.3">
      <c r="A156" s="6" t="str">
        <f t="shared" si="17"/>
        <v>blank</v>
      </c>
      <c r="B156" s="4" t="s">
        <v>37</v>
      </c>
      <c r="C156" s="4" t="s">
        <v>11</v>
      </c>
      <c r="D156" s="91">
        <f>IF(LEFT($A$144,5)="blank",0,D79/'Input Global'!D$22)</f>
        <v>0</v>
      </c>
      <c r="E156" s="91">
        <f>IF(LEFT($A$144,5)="blank",0,E79/'Input Global'!E$22)</f>
        <v>0</v>
      </c>
      <c r="F156" s="91">
        <f>IF(LEFT($A$144,5)="blank",0,F79/'Input Global'!F$22)</f>
        <v>0</v>
      </c>
      <c r="G156" s="91">
        <f>IF(LEFT($A$144,5)="blank",0,G79/'Input Global'!G$22)</f>
        <v>0</v>
      </c>
      <c r="H156" s="91">
        <f>IF(LEFT($A$144,5)="blank",0,H79/'Input Global'!H$22)</f>
        <v>0</v>
      </c>
    </row>
    <row r="157" spans="1:8" hidden="1" x14ac:dyDescent="0.3">
      <c r="A157" s="7" t="s">
        <v>55</v>
      </c>
      <c r="B157" s="7" t="s">
        <v>37</v>
      </c>
      <c r="C157" s="7" t="s">
        <v>11</v>
      </c>
      <c r="D157" s="91">
        <f>SUM(D145:D156)</f>
        <v>0</v>
      </c>
      <c r="E157" s="91">
        <f t="shared" ref="E157:H157" si="18">SUM(E145:E156)</f>
        <v>0</v>
      </c>
      <c r="F157" s="91">
        <f t="shared" si="18"/>
        <v>0</v>
      </c>
      <c r="G157" s="91">
        <f t="shared" si="18"/>
        <v>0</v>
      </c>
      <c r="H157" s="91">
        <f t="shared" si="18"/>
        <v>0</v>
      </c>
    </row>
    <row r="159" spans="1:8" ht="18.75" x14ac:dyDescent="0.3">
      <c r="A159" s="3" t="s">
        <v>68</v>
      </c>
    </row>
    <row r="160" spans="1:8" x14ac:dyDescent="0.3">
      <c r="A160" s="4" t="str">
        <f>Dist1</f>
        <v>Northern Territory</v>
      </c>
      <c r="B160" s="4" t="s">
        <v>37</v>
      </c>
      <c r="C160" s="4" t="s">
        <v>23</v>
      </c>
      <c r="D160" s="92">
        <f>'Input Global'!D25/'Input Global'!D$30</f>
        <v>1</v>
      </c>
      <c r="E160" s="92">
        <f>'Input Global'!E25/'Input Global'!E$30</f>
        <v>1</v>
      </c>
      <c r="F160" s="92">
        <f>'Input Global'!F25/'Input Global'!F$30</f>
        <v>1</v>
      </c>
      <c r="G160" s="92">
        <f>'Input Global'!G25/'Input Global'!G$30</f>
        <v>1</v>
      </c>
      <c r="H160" s="92">
        <f>'Input Global'!H25/'Input Global'!H$30</f>
        <v>1</v>
      </c>
    </row>
    <row r="161" spans="1:8" hidden="1" x14ac:dyDescent="0.3">
      <c r="A161" s="4" t="str">
        <f>Dist2</f>
        <v>blank</v>
      </c>
      <c r="B161" s="4" t="s">
        <v>37</v>
      </c>
      <c r="C161" s="4" t="s">
        <v>23</v>
      </c>
      <c r="D161" s="92">
        <f>'Input Global'!D26/'Input Global'!D$30</f>
        <v>0</v>
      </c>
      <c r="E161" s="92">
        <f>'Input Global'!E26/'Input Global'!E$30</f>
        <v>0</v>
      </c>
      <c r="F161" s="92">
        <f>'Input Global'!F26/'Input Global'!F$30</f>
        <v>0</v>
      </c>
      <c r="G161" s="92">
        <f>'Input Global'!G26/'Input Global'!G$30</f>
        <v>0</v>
      </c>
      <c r="H161" s="92">
        <f>'Input Global'!H26/'Input Global'!H$30</f>
        <v>0</v>
      </c>
    </row>
    <row r="162" spans="1:8" hidden="1" x14ac:dyDescent="0.3">
      <c r="A162" s="4" t="str">
        <f>Dist3</f>
        <v>blank</v>
      </c>
      <c r="B162" s="4" t="s">
        <v>37</v>
      </c>
      <c r="C162" s="4" t="s">
        <v>23</v>
      </c>
      <c r="D162" s="92">
        <f>'Input Global'!D27/'Input Global'!D$30</f>
        <v>0</v>
      </c>
      <c r="E162" s="92">
        <f>'Input Global'!E27/'Input Global'!E$30</f>
        <v>0</v>
      </c>
      <c r="F162" s="92">
        <f>'Input Global'!F27/'Input Global'!F$30</f>
        <v>0</v>
      </c>
      <c r="G162" s="92">
        <f>'Input Global'!G27/'Input Global'!G$30</f>
        <v>0</v>
      </c>
      <c r="H162" s="92">
        <f>'Input Global'!H27/'Input Global'!H$30</f>
        <v>0</v>
      </c>
    </row>
    <row r="163" spans="1:8" hidden="1" x14ac:dyDescent="0.3">
      <c r="A163" s="4" t="str">
        <f>Dist4</f>
        <v>blank</v>
      </c>
      <c r="B163" s="4" t="s">
        <v>37</v>
      </c>
      <c r="C163" s="4" t="s">
        <v>23</v>
      </c>
      <c r="D163" s="92">
        <f>'Input Global'!D28/'Input Global'!D$30</f>
        <v>0</v>
      </c>
      <c r="E163" s="92">
        <f>'Input Global'!E28/'Input Global'!E$30</f>
        <v>0</v>
      </c>
      <c r="F163" s="92">
        <f>'Input Global'!F28/'Input Global'!F$30</f>
        <v>0</v>
      </c>
      <c r="G163" s="92">
        <f>'Input Global'!G28/'Input Global'!G$30</f>
        <v>0</v>
      </c>
      <c r="H163" s="92">
        <f>'Input Global'!H28/'Input Global'!H$30</f>
        <v>0</v>
      </c>
    </row>
    <row r="164" spans="1:8" hidden="1" x14ac:dyDescent="0.3">
      <c r="A164" s="4" t="str">
        <f>Dist5</f>
        <v>blank</v>
      </c>
      <c r="B164" s="4" t="s">
        <v>37</v>
      </c>
      <c r="C164" s="4" t="s">
        <v>23</v>
      </c>
      <c r="D164" s="92">
        <f>'Input Global'!D29/'Input Global'!D$30</f>
        <v>0</v>
      </c>
      <c r="E164" s="92">
        <f>'Input Global'!E29/'Input Global'!E$30</f>
        <v>0</v>
      </c>
      <c r="F164" s="92">
        <f>'Input Global'!F29/'Input Global'!F$30</f>
        <v>0</v>
      </c>
      <c r="G164" s="92">
        <f>'Input Global'!G29/'Input Global'!G$30</f>
        <v>0</v>
      </c>
      <c r="H164" s="92">
        <f>'Input Global'!H29/'Input Global'!H$30</f>
        <v>0</v>
      </c>
    </row>
    <row r="165" spans="1:8" hidden="1" x14ac:dyDescent="0.3"/>
    <row r="166" spans="1:8" hidden="1" x14ac:dyDescent="0.3"/>
    <row r="167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7"/>
  <sheetViews>
    <sheetView tabSelected="1" zoomScaleNormal="100" workbookViewId="0">
      <selection activeCell="E7" sqref="E7"/>
    </sheetView>
  </sheetViews>
  <sheetFormatPr defaultColWidth="9.140625" defaultRowHeight="16.5" x14ac:dyDescent="0.3"/>
  <cols>
    <col min="1" max="1" width="37.28515625" style="4" bestFit="1" customWidth="1"/>
    <col min="2" max="2" width="2.140625" style="4" customWidth="1"/>
    <col min="3" max="3" width="9.140625" style="4"/>
    <col min="4" max="4" width="1.140625" style="4" customWidth="1"/>
    <col min="5" max="8" width="20.7109375" style="80" customWidth="1"/>
    <col min="9" max="9" width="20.7109375" style="4" customWidth="1"/>
    <col min="10" max="10" width="9.140625" style="4"/>
    <col min="11" max="11" width="10.140625" style="4" customWidth="1"/>
    <col min="12" max="16384" width="9.140625" style="4"/>
  </cols>
  <sheetData>
    <row r="1" spans="1:9" s="9" customFormat="1" ht="23.25" x14ac:dyDescent="0.35">
      <c r="A1" s="9" t="s">
        <v>1</v>
      </c>
      <c r="B1" s="10" t="str">
        <f ca="1">'Input Global'!B1</f>
        <v>2012 Pricing Trends - model - NT</v>
      </c>
      <c r="C1" s="10"/>
      <c r="D1" s="10"/>
      <c r="E1" s="82"/>
      <c r="F1" s="82"/>
      <c r="G1" s="81"/>
      <c r="H1" s="81"/>
      <c r="I1" s="63" t="s">
        <v>31</v>
      </c>
    </row>
    <row r="2" spans="1:9" s="9" customFormat="1" ht="19.5" thickBot="1" x14ac:dyDescent="0.35">
      <c r="B2" s="11" t="str">
        <f ca="1">RIGHT(CELL("filename",B2),LEN(CELL("filename",B2))-SEARCH("]",CELL("filename",B2)))</f>
        <v>Output</v>
      </c>
      <c r="C2" s="12"/>
      <c r="D2" s="12"/>
      <c r="E2" s="83"/>
      <c r="F2" s="83"/>
      <c r="G2" s="81"/>
      <c r="H2" s="81"/>
      <c r="I2" s="69" t="s">
        <v>25</v>
      </c>
    </row>
    <row r="3" spans="1:9" s="9" customFormat="1" ht="17.25" thickBot="1" x14ac:dyDescent="0.35">
      <c r="E3" s="81"/>
      <c r="F3" s="81"/>
      <c r="G3" s="81"/>
      <c r="H3" s="81"/>
      <c r="I3" s="70" t="s">
        <v>32</v>
      </c>
    </row>
    <row r="4" spans="1:9" s="9" customFormat="1" ht="15.75" x14ac:dyDescent="0.3">
      <c r="B4" s="13"/>
      <c r="C4" s="14" t="s">
        <v>8</v>
      </c>
      <c r="D4" s="14"/>
      <c r="E4" s="84" t="str">
        <f>'Input Global'!E4</f>
        <v>2011/12</v>
      </c>
      <c r="F4" s="84" t="str">
        <f>'Input Global'!F4</f>
        <v>2012/13</v>
      </c>
      <c r="G4" s="84" t="str">
        <f>'Input Global'!G4</f>
        <v>2013/14</v>
      </c>
      <c r="H4" s="84" t="str">
        <f>'Input Global'!H4</f>
        <v>2014/15</v>
      </c>
    </row>
    <row r="6" spans="1:9" ht="18.75" x14ac:dyDescent="0.3">
      <c r="A6" s="3" t="s">
        <v>38</v>
      </c>
      <c r="C6" s="3" t="s">
        <v>11</v>
      </c>
    </row>
    <row r="8" spans="1:9" ht="17.25" thickBot="1" x14ac:dyDescent="0.35">
      <c r="A8" s="72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65</v>
      </c>
      <c r="D9"/>
      <c r="E9" s="68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13.838999999999999</v>
      </c>
      <c r="F9" s="68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14.249454545454544</v>
      </c>
      <c r="G9" s="68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20.292460273972601</v>
      </c>
      <c r="H9" s="68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20.799771780821914</v>
      </c>
    </row>
    <row r="10" spans="1:9" ht="17.25" thickBot="1" x14ac:dyDescent="0.35">
      <c r="A10" t="str">
        <f>'Calc (Jurisdiction)'!A9</f>
        <v>Transmission</v>
      </c>
      <c r="B10"/>
      <c r="C10" t="s">
        <v>65</v>
      </c>
      <c r="D10"/>
      <c r="E10" s="68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0</v>
      </c>
      <c r="F10" s="68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0</v>
      </c>
      <c r="G10" s="68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0</v>
      </c>
      <c r="H10" s="68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0</v>
      </c>
    </row>
    <row r="11" spans="1:9" ht="17.25" thickBot="1" x14ac:dyDescent="0.35">
      <c r="A11" t="str">
        <f>'Calc (Jurisdiction)'!A10</f>
        <v>Distribution</v>
      </c>
      <c r="B11"/>
      <c r="C11" t="s">
        <v>65</v>
      </c>
      <c r="D11"/>
      <c r="E11" s="68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7.5485454545454536</v>
      </c>
      <c r="F11" s="68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7.916363636363636</v>
      </c>
      <c r="G11" s="68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8.3192727272727272</v>
      </c>
      <c r="H11" s="68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8.5997362090909064</v>
      </c>
    </row>
    <row r="12" spans="1:9" ht="17.25" thickBot="1" x14ac:dyDescent="0.35">
      <c r="A12" t="str">
        <f>'Calc (Jurisdiction)'!A11</f>
        <v>Retail</v>
      </c>
      <c r="B12"/>
      <c r="C12" t="s">
        <v>65</v>
      </c>
      <c r="D12"/>
      <c r="E12" s="68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0.28756363636363635</v>
      </c>
      <c r="F12" s="68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0.31665454545454547</v>
      </c>
      <c r="G12" s="68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0.45094356164383564</v>
      </c>
      <c r="H12" s="68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0.46221715068493147</v>
      </c>
    </row>
    <row r="13" spans="1:9" ht="17.25" thickBot="1" x14ac:dyDescent="0.35">
      <c r="A13" t="str">
        <f>'Calc (Jurisdiction)'!A12</f>
        <v>Retail and Residual</v>
      </c>
      <c r="B13"/>
      <c r="C13" t="s">
        <v>65</v>
      </c>
      <c r="D13"/>
      <c r="E13" s="68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0</v>
      </c>
      <c r="F13" s="68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0</v>
      </c>
      <c r="G13" s="68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0</v>
      </c>
      <c r="H13" s="68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0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73"/>
      <c r="F14" s="74"/>
      <c r="G14" s="73"/>
      <c r="H14" s="73"/>
    </row>
    <row r="15" spans="1:9" ht="17.25" thickBot="1" x14ac:dyDescent="0.35">
      <c r="A15" s="2" t="str">
        <f>'Calc (Jurisdiction)'!A14</f>
        <v>Feed-in Tariffs</v>
      </c>
      <c r="B15"/>
      <c r="C15" t="s">
        <v>65</v>
      </c>
      <c r="D15"/>
      <c r="E15" s="68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</v>
      </c>
      <c r="F15" s="68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0</v>
      </c>
      <c r="G15" s="68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0</v>
      </c>
      <c r="H15" s="68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0</v>
      </c>
    </row>
    <row r="16" spans="1:9" ht="17.25" thickBot="1" x14ac:dyDescent="0.35">
      <c r="A16" s="2" t="str">
        <f>'Calc (Jurisdiction)'!A15</f>
        <v>Carbon costs</v>
      </c>
      <c r="B16"/>
      <c r="C16" t="s">
        <v>65</v>
      </c>
      <c r="D16"/>
      <c r="E16" s="68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68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1.325990909090909</v>
      </c>
      <c r="G16" s="68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1.8883261643835614</v>
      </c>
      <c r="H16" s="68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1.9355343184931502</v>
      </c>
    </row>
    <row r="17" spans="1:13" ht="17.25" thickBot="1" x14ac:dyDescent="0.35">
      <c r="A17" s="2" t="str">
        <f>'Calc (Jurisdiction)'!A16</f>
        <v>Large Scale Renewable Energy Target</v>
      </c>
      <c r="B17"/>
      <c r="C17" t="s">
        <v>65</v>
      </c>
      <c r="D17"/>
      <c r="E17" s="68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</v>
      </c>
      <c r="F17" s="68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</v>
      </c>
      <c r="G17" s="68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</v>
      </c>
      <c r="H17" s="68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</v>
      </c>
    </row>
    <row r="18" spans="1:13" ht="17.25" thickBot="1" x14ac:dyDescent="0.35">
      <c r="A18" s="2" t="str">
        <f>'Calc (Jurisdiction)'!A17</f>
        <v>Small Scale Renewable Energy Scheme</v>
      </c>
      <c r="B18"/>
      <c r="C18" t="s">
        <v>65</v>
      </c>
      <c r="D18"/>
      <c r="E18" s="68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</v>
      </c>
      <c r="F18" s="68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</v>
      </c>
      <c r="G18" s="68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</v>
      </c>
      <c r="H18" s="68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</v>
      </c>
    </row>
    <row r="19" spans="1:13" ht="17.25" thickBot="1" x14ac:dyDescent="0.35">
      <c r="A19" s="2" t="str">
        <f>'Calc (Jurisdiction)'!A18</f>
        <v>blank</v>
      </c>
      <c r="B19"/>
      <c r="C19" t="s">
        <v>65</v>
      </c>
      <c r="D19"/>
      <c r="E19" s="68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</v>
      </c>
      <c r="F19" s="68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</v>
      </c>
      <c r="G19" s="68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</v>
      </c>
      <c r="H19" s="68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</v>
      </c>
    </row>
    <row r="20" spans="1:13" ht="17.25" thickBot="1" x14ac:dyDescent="0.35">
      <c r="A20" s="2" t="str">
        <f>'Calc (Jurisdiction)'!A19</f>
        <v>blank</v>
      </c>
      <c r="B20"/>
      <c r="C20" t="s">
        <v>65</v>
      </c>
      <c r="D20"/>
      <c r="E20" s="68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68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68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68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15"/>
      <c r="K20" s="15"/>
      <c r="L20" s="15"/>
      <c r="M20" s="15"/>
    </row>
    <row r="21" spans="1:13" ht="17.25" thickBot="1" x14ac:dyDescent="0.35">
      <c r="A21" t="s">
        <v>55</v>
      </c>
      <c r="B21"/>
      <c r="C21" t="s">
        <v>65</v>
      </c>
      <c r="D21"/>
      <c r="E21" s="68">
        <f ca="1">SUM(E9:E20)</f>
        <v>21.675109090909089</v>
      </c>
      <c r="F21" s="68">
        <f ca="1">SUM(F9:F20)</f>
        <v>23.808463636363637</v>
      </c>
      <c r="G21" s="68">
        <f ca="1">SUM(G9:G20)</f>
        <v>30.951002727272723</v>
      </c>
      <c r="H21" s="68">
        <f ca="1">SUM(H9:H20)</f>
        <v>31.797259459090903</v>
      </c>
    </row>
    <row r="22" spans="1:13" x14ac:dyDescent="0.3">
      <c r="A22"/>
      <c r="B22"/>
      <c r="C22"/>
      <c r="D22"/>
      <c r="E22" s="73"/>
      <c r="F22" s="73"/>
      <c r="G22" s="73"/>
      <c r="H22" s="73"/>
    </row>
    <row r="24" spans="1:13" ht="17.25" thickBot="1" x14ac:dyDescent="0.35"/>
    <row r="25" spans="1:13" ht="17.25" thickBot="1" x14ac:dyDescent="0.35">
      <c r="A25" s="19" t="str">
        <f ca="1">IFERROR(RIGHT(LEFT(A8,LEN(A8)-1),LEN(LEFT(A8,LEN(A8)-1))-FIND("(",LEFT(A8,LEN(A8)-1))),"blank")</f>
        <v>Jurisdiction</v>
      </c>
      <c r="E25" s="68">
        <f ca="1">IF(LEFT($A25,5)="blank",0,E21)</f>
        <v>21.675109090909089</v>
      </c>
      <c r="F25" s="68">
        <f ca="1">IF(LEFT($A25,5)="blank",0,F21)</f>
        <v>23.808463636363637</v>
      </c>
      <c r="G25" s="68">
        <f ca="1">IF(LEFT($A25,5)="blank",0,G21)</f>
        <v>30.951002727272723</v>
      </c>
      <c r="H25" s="68">
        <f ca="1">IF(LEFT($A25,5)="blank",0,H21)</f>
        <v>31.797259459090903</v>
      </c>
    </row>
    <row r="26" spans="1:13" ht="17.25" hidden="1" thickBot="1" x14ac:dyDescent="0.35">
      <c r="A26" s="19" t="str">
        <f>IFERROR(RIGHT(LEFT(#REF!,LEN(#REF!)-1),LEN(LEFT(#REF!,LEN(#REF!)-1))-FIND("(",LEFT(#REF!,LEN(#REF!)-1))),"blank")</f>
        <v>blank</v>
      </c>
      <c r="E26" s="68">
        <f>IF(LEFT($A26,5)="blank",0,#REF!)</f>
        <v>0</v>
      </c>
      <c r="F26" s="68">
        <f>IF(LEFT($A26,5)="blank",0,#REF!)</f>
        <v>0</v>
      </c>
      <c r="G26" s="68">
        <f>IF(LEFT($A26,5)="blank",0,#REF!)</f>
        <v>0</v>
      </c>
      <c r="H26" s="68">
        <f>IF(LEFT($A26,5)="blank",0,#REF!)</f>
        <v>0</v>
      </c>
    </row>
    <row r="27" spans="1:13" ht="17.25" hidden="1" thickBot="1" x14ac:dyDescent="0.35">
      <c r="A27" s="19" t="str">
        <f>IFERROR(RIGHT(LEFT(#REF!,LEN(#REF!)-1),LEN(LEFT(#REF!,LEN(#REF!)-1))-FIND("(",LEFT(#REF!,LEN(#REF!)-1))),"blank")</f>
        <v>blank</v>
      </c>
      <c r="E27" s="68">
        <f>IF(LEFT($A27,5)="blank",0,#REF!)</f>
        <v>0</v>
      </c>
      <c r="F27" s="68">
        <f>IF(LEFT($A27,5)="blank",0,#REF!)</f>
        <v>0</v>
      </c>
      <c r="G27" s="68">
        <f>IF(LEFT($A27,5)="blank",0,#REF!)</f>
        <v>0</v>
      </c>
      <c r="H27" s="68">
        <f>IF(LEFT($A27,5)="blank",0,#REF!)</f>
        <v>0</v>
      </c>
    </row>
    <row r="28" spans="1:13" ht="17.25" hidden="1" thickBot="1" x14ac:dyDescent="0.35">
      <c r="A28" s="19" t="str">
        <f>IFERROR(RIGHT(LEFT(#REF!,LEN(#REF!)-1),LEN(LEFT(#REF!,LEN(#REF!)-1))-FIND("(",LEFT(#REF!,LEN(#REF!)-1))),"blank")</f>
        <v>blank</v>
      </c>
      <c r="E28" s="68">
        <f>IF(LEFT($A28,5)="blank",0,#REF!)</f>
        <v>0</v>
      </c>
      <c r="F28" s="68">
        <f>IF(LEFT($A28,5)="blank",0,#REF!)</f>
        <v>0</v>
      </c>
      <c r="G28" s="68">
        <f>IF(LEFT($A28,5)="blank",0,#REF!)</f>
        <v>0</v>
      </c>
      <c r="H28" s="68">
        <f>IF(LEFT($A28,5)="blank",0,#REF!)</f>
        <v>0</v>
      </c>
    </row>
    <row r="29" spans="1:13" ht="17.25" hidden="1" thickBot="1" x14ac:dyDescent="0.35">
      <c r="A29" s="19" t="str">
        <f>IFERROR(RIGHT(LEFT(#REF!,LEN(#REF!)-1),LEN(LEFT(#REF!,LEN(#REF!)-1))-FIND("(",LEFT(#REF!,LEN(#REF!)-1))),"blank")</f>
        <v>blank</v>
      </c>
      <c r="E29" s="68">
        <f>IF(LEFT($A29,5)="blank",0,#REF!)</f>
        <v>0</v>
      </c>
      <c r="F29" s="68">
        <f>IF(LEFT($A29,5)="blank",0,#REF!)</f>
        <v>0</v>
      </c>
      <c r="G29" s="68">
        <f>IF(LEFT($A29,5)="blank",0,#REF!)</f>
        <v>0</v>
      </c>
      <c r="H29" s="68">
        <f>IF(LEFT($A29,5)="blank",0,#REF!)</f>
        <v>0</v>
      </c>
    </row>
    <row r="30" spans="1:13" x14ac:dyDescent="0.3">
      <c r="A30" s="19"/>
    </row>
    <row r="31" spans="1:13" ht="17.25" thickBot="1" x14ac:dyDescent="0.35">
      <c r="A31" s="8" t="str">
        <f ca="1">A8</f>
        <v>Calc (Jurisdiction)</v>
      </c>
      <c r="E31" s="85"/>
      <c r="F31" s="85"/>
      <c r="G31" s="85"/>
      <c r="H31" s="85"/>
    </row>
    <row r="32" spans="1:13" ht="17.25" thickBot="1" x14ac:dyDescent="0.35">
      <c r="A32" s="4" t="s">
        <v>1</v>
      </c>
      <c r="E32" s="68">
        <f ca="1">IF(LEFT($A31,5)="blank",0,E9+E16)</f>
        <v>13.838999999999999</v>
      </c>
      <c r="F32" s="68">
        <f ca="1">IF(LEFT($A31,5)="blank",0,F9+F16)</f>
        <v>15.575445454545452</v>
      </c>
      <c r="G32" s="68">
        <f ca="1">IF(LEFT($A31,5)="blank",0,G9+G16)</f>
        <v>22.180786438356161</v>
      </c>
      <c r="H32" s="68">
        <f ca="1">IF(LEFT($A31,5)="blank",0,H9+H16)</f>
        <v>22.735306099315064</v>
      </c>
    </row>
    <row r="33" spans="1:8" ht="17.25" thickBot="1" x14ac:dyDescent="0.35">
      <c r="A33" s="4" t="s">
        <v>40</v>
      </c>
      <c r="E33" s="68">
        <f ca="1">IF(LEFT($A31,5)="blank",0,E10)</f>
        <v>0</v>
      </c>
      <c r="F33" s="68">
        <f ca="1">IF(LEFT($A31,5)="blank",0,F10)</f>
        <v>0</v>
      </c>
      <c r="G33" s="68">
        <f ca="1">IF(LEFT($A31,5)="blank",0,G10)</f>
        <v>0</v>
      </c>
      <c r="H33" s="68">
        <f ca="1">IF(LEFT($A31,5)="blank",0,H10)</f>
        <v>0</v>
      </c>
    </row>
    <row r="34" spans="1:8" ht="17.25" thickBot="1" x14ac:dyDescent="0.35">
      <c r="A34" s="4" t="s">
        <v>39</v>
      </c>
      <c r="E34" s="68">
        <f ca="1">IF(LEFT($A31,5)="blank",0,IF('Input Global'!$B$61="No",E11+E15+E19,E11+E15))</f>
        <v>7.5485454545454536</v>
      </c>
      <c r="F34" s="68">
        <f ca="1">IF(LEFT($A31,5)="blank",0,IF('Input Global'!$B$61="No",F11+F15+F19,F11+F15))</f>
        <v>7.916363636363636</v>
      </c>
      <c r="G34" s="68">
        <f ca="1">IF(LEFT($A31,5)="blank",0,IF('Input Global'!$B$61="No",G11+G15+G19,G11+G15))</f>
        <v>8.3192727272727272</v>
      </c>
      <c r="H34" s="68">
        <f ca="1">IF(LEFT($A31,5)="blank",0,IF('Input Global'!$B$61="No",H11+H15+H19,H11+H15))</f>
        <v>8.5997362090909064</v>
      </c>
    </row>
    <row r="35" spans="1:8" ht="17.25" thickBot="1" x14ac:dyDescent="0.35">
      <c r="A35" s="4" t="s">
        <v>15</v>
      </c>
      <c r="E35" s="68">
        <f ca="1">IF(LEFT($A31,5)="blank",0,IF('Input Global'!$B$61="No",E12+E13+E17+E18+E20,E12+E13+E17+E18+E19+E20))</f>
        <v>0.28756363636363635</v>
      </c>
      <c r="F35" s="68">
        <f ca="1">IF(LEFT($A31,5)="blank",0,IF('Input Global'!$B$61="No",F12+F13+F17+F18+F20,F12+F13+F17+F18+F19+F20))</f>
        <v>0.31665454545454547</v>
      </c>
      <c r="G35" s="68">
        <f ca="1">IF(LEFT($A31,5)="blank",0,IF('Input Global'!$B$61="No",G12+G13+G17+G18+G20,G12+G13+G17+G18+G19+G20))</f>
        <v>0.45094356164383564</v>
      </c>
      <c r="H35" s="68">
        <f ca="1">IF(LEFT($A31,5)="blank",0,IF('Input Global'!$B$61="No",H12+H13+H17+H18+H20,H12+H13+H17+H18+H19+H20))</f>
        <v>0.46221715068493147</v>
      </c>
    </row>
    <row r="36" spans="1:8" ht="17.25" thickBot="1" x14ac:dyDescent="0.35">
      <c r="A36" s="7" t="s">
        <v>55</v>
      </c>
      <c r="B36" s="7"/>
      <c r="C36" s="7"/>
      <c r="D36" s="7"/>
      <c r="E36" s="68">
        <f ca="1">SUM(E32:E35)</f>
        <v>21.675109090909089</v>
      </c>
      <c r="F36" s="68">
        <f t="shared" ref="F36:H36" ca="1" si="0">SUM(F32:F35)</f>
        <v>23.808463636363633</v>
      </c>
      <c r="G36" s="68">
        <f t="shared" ca="1" si="0"/>
        <v>30.951002727272726</v>
      </c>
      <c r="H36" s="68">
        <f t="shared" ca="1" si="0"/>
        <v>31.797259459090903</v>
      </c>
    </row>
    <row r="37" spans="1:8" x14ac:dyDescent="0.3">
      <c r="A37" s="20" t="s">
        <v>92</v>
      </c>
      <c r="E37" s="20" t="b">
        <f ca="1">E21=E36</f>
        <v>1</v>
      </c>
      <c r="F37" s="20" t="b">
        <f ca="1">F21=F36</f>
        <v>1</v>
      </c>
      <c r="G37" s="20" t="b">
        <f ca="1">G21=G36</f>
        <v>1</v>
      </c>
      <c r="H37" s="20" t="b">
        <f ca="1">H21=H36</f>
        <v>1</v>
      </c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  <colBreaks count="1" manualBreakCount="1">
    <brk id="8" max="1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54</vt:i4>
      </vt:variant>
    </vt:vector>
  </HeadingPairs>
  <TitlesOfParts>
    <vt:vector size="60" baseType="lpstr">
      <vt:lpstr>Index</vt:lpstr>
      <vt:lpstr>Input Global</vt:lpstr>
      <vt:lpstr>Input Frontier</vt:lpstr>
      <vt:lpstr>Input General</vt:lpstr>
      <vt:lpstr>Calc (Jurisdiction)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Dist4frontier</vt:lpstr>
      <vt:lpstr>Dist4LRET</vt:lpstr>
      <vt:lpstr>dist4retail</vt:lpstr>
      <vt:lpstr>dist4scheme1</vt:lpstr>
      <vt:lpstr>dist4scheme2</vt:lpstr>
      <vt:lpstr>dist4wholesale</vt:lpstr>
      <vt:lpstr>Dist4X</vt:lpstr>
      <vt:lpstr>Dist5</vt:lpstr>
      <vt:lpstr>dist5frontier</vt:lpstr>
      <vt:lpstr>Dist5LRET</vt:lpstr>
      <vt:lpstr>dist5retail</vt:lpstr>
      <vt:lpstr>dist5scheme1</vt:lpstr>
      <vt:lpstr>dist5scheme2</vt:lpstr>
      <vt:lpstr>dist5wholesale</vt:lpstr>
      <vt:lpstr>Dist5X</vt:lpstr>
      <vt:lpstr>inflation</vt:lpstr>
      <vt:lpstr>'Calc (Jurisdiction)'!Print_Area</vt:lpstr>
      <vt:lpstr>Index!Print_Area</vt:lpstr>
      <vt:lpstr>'Input Global'!Print_Area</vt:lpstr>
      <vt:lpstr>Output!Print_Area</vt:lpstr>
      <vt:lpstr>'Calc (Jurisdiction)'!Print_Titles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2013-06-20T07:30:28Z</dcterms:modified>
</cp:coreProperties>
</file>