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9A8" lockStructure="1"/>
  <bookViews>
    <workbookView xWindow="360" yWindow="-210" windowWidth="21375" windowHeight="10320" firstSheet="5" activeTab="9"/>
  </bookViews>
  <sheets>
    <sheet name="Index" sheetId="6" r:id="rId1"/>
    <sheet name="Input Global" sheetId="4" r:id="rId2"/>
    <sheet name="Input Frontier" sheetId="21" r:id="rId3"/>
    <sheet name="Input General" sheetId="5" r:id="rId4"/>
    <sheet name="Calc (Jurisdiction)" sheetId="1" r:id="rId5"/>
    <sheet name="Calc (LRMC Planning case)" sheetId="15" r:id="rId6"/>
    <sheet name="Calc (LRMC Slow Rate)" sheetId="16" r:id="rId7"/>
    <sheet name="Calc (Market Planning Case)" sheetId="17" r:id="rId8"/>
    <sheet name="Calc (Market Slow Rate)" sheetId="18" r:id="rId9"/>
    <sheet name="Output" sheetId="2" r:id="rId10"/>
  </sheets>
  <externalReferences>
    <externalReference r:id="rId11"/>
  </externalReferences>
  <definedNames>
    <definedName name="Dist1">'Input Global'!$B$8</definedName>
    <definedName name="Dist1Frontier">'Input General'!$A$412:$H$416</definedName>
    <definedName name="dist1LRET">'Input General'!$A$484:$H$488</definedName>
    <definedName name="dist1Retail">'Input General'!$A$351:$H$360</definedName>
    <definedName name="dist1scheme1">'Input General'!$A$527:$H$531</definedName>
    <definedName name="dist1scheme2">'Input General'!$A$563:$H$567</definedName>
    <definedName name="dist1wholesale">'Input General'!$A$288:$H$292</definedName>
    <definedName name="Dist1X">'Input Global'!$H$41</definedName>
    <definedName name="Dist2">'Input Global'!$B$9</definedName>
    <definedName name="dist2frontier">'Input General'!$A$419:$H$423</definedName>
    <definedName name="Dist2LRET">'Input General'!$A$491:$H$495</definedName>
    <definedName name="dist2Retail">'Input General'!$A$363:$H$371</definedName>
    <definedName name="dist2scheme1">'Input General'!$A$534:$H$538</definedName>
    <definedName name="dist2scheme2">'Input General'!$A$570:$H$574</definedName>
    <definedName name="dist2wholesale">'Input General'!$A$294:$H$298</definedName>
    <definedName name="Dist2X">'Input Global'!$H$42</definedName>
    <definedName name="Dist3">'Input Global'!$B$10</definedName>
    <definedName name="dist3frontier">'Input General'!$A$426:$H$430</definedName>
    <definedName name="Dist3LRET">'Input General'!$A$498:$H$502</definedName>
    <definedName name="dist3retail">'Input General'!$A$374:$H$382</definedName>
    <definedName name="dist3scheme1">'Input General'!$A$541:$H$545</definedName>
    <definedName name="dist3scheme2">'Input General'!$A$577:$H$581</definedName>
    <definedName name="dist3wholesale">'Input General'!$A$300:$H$304</definedName>
    <definedName name="Dist3X">'Input Global'!$H$43</definedName>
    <definedName name="Dist4">'Input Global'!$B$11</definedName>
    <definedName name="Dist4frontier">'Input General'!$A$433:$H$437</definedName>
    <definedName name="Dist4LRET">'Input General'!$A$505:$H$509</definedName>
    <definedName name="dist4retail">'Input General'!$A$385:$H$393</definedName>
    <definedName name="dist4scheme1">'Input General'!$A$548:$H$552</definedName>
    <definedName name="dist4scheme2">'Input General'!$A$584:$H$588</definedName>
    <definedName name="dist4wholesale">'Input General'!$A$306:$H$310</definedName>
    <definedName name="Dist4X">'Input Global'!$H$44</definedName>
    <definedName name="Dist5">'Input Global'!$B$12</definedName>
    <definedName name="dist5frontier">'Input General'!$A$440:$H$444</definedName>
    <definedName name="Dist5LRET">'Input General'!$A$512:$H$516</definedName>
    <definedName name="dist5retail">'Input General'!$A$396:$H$404</definedName>
    <definedName name="dist5scheme1">'Input General'!$A$555:$H$559</definedName>
    <definedName name="dist5scheme2">'Input General'!$A$591:$H$595</definedName>
    <definedName name="dist5wholesale">'Input General'!$A$312:$H$316</definedName>
    <definedName name="Dist5X">'Input Global'!$H$45</definedName>
    <definedName name="inflation">'Input Global'!$G$15</definedName>
    <definedName name="margin">'[1]NSW Retail Input'!$C$3</definedName>
    <definedName name="_xlnm.Print_Area" localSheetId="4">'Calc (Jurisdiction)'!$A$1:$I$164</definedName>
    <definedName name="_xlnm.Print_Area" localSheetId="5">'Calc (LRMC Planning case)'!$A$1:$I$164</definedName>
    <definedName name="_xlnm.Print_Area" localSheetId="6">'Calc (LRMC Slow Rate)'!$A$1:$I$164</definedName>
    <definedName name="_xlnm.Print_Area" localSheetId="7">'Calc (Market Planning Case)'!$A$1:$I$164</definedName>
    <definedName name="_xlnm.Print_Area" localSheetId="8">'Calc (Market Slow Rate)'!$A$1:$I$164</definedName>
    <definedName name="_xlnm.Print_Area" localSheetId="0">Index!$A$1:$I$32</definedName>
    <definedName name="_xlnm.Print_Area" localSheetId="1">'Input Global'!$A$1:$I$65</definedName>
    <definedName name="_xlnm.Print_Area" localSheetId="9">Output!$A$1:$H$109</definedName>
    <definedName name="_xlnm.Print_Titles" localSheetId="4">'Calc (Jurisdiction)'!$1:$4</definedName>
    <definedName name="_xlnm.Print_Titles" localSheetId="5">'Calc (LRMC Planning case)'!$1:$4</definedName>
    <definedName name="_xlnm.Print_Titles" localSheetId="6">'Calc (LRMC Slow Rate)'!$1:$4</definedName>
    <definedName name="_xlnm.Print_Titles" localSheetId="7">'Calc (Market Planning Case)'!$1:$4</definedName>
    <definedName name="_xlnm.Print_Titles" localSheetId="8">'Calc (Market Slow Rate)'!$4:$4</definedName>
    <definedName name="_xlnm.Print_Titles" localSheetId="0">Index!$1:$4</definedName>
    <definedName name="_xlnm.Print_Titles" localSheetId="3">'Input General'!$1:$4</definedName>
    <definedName name="_xlnm.Print_Titles" localSheetId="1">'Input Global'!$1:$4</definedName>
    <definedName name="_xlnm.Print_Titles" localSheetId="9">Output!$4:$4</definedName>
    <definedName name="Scheme1">'Input Global'!$A$51</definedName>
    <definedName name="Scheme2">'Input Global'!$A$52</definedName>
    <definedName name="TNSP">'Input Global'!$A$40</definedName>
    <definedName name="Transmission">'Input Global'!$A$40</definedName>
  </definedNames>
  <calcPr calcId="145621"/>
</workbook>
</file>

<file path=xl/calcChain.xml><?xml version="1.0" encoding="utf-8"?>
<calcChain xmlns="http://schemas.openxmlformats.org/spreadsheetml/2006/main">
  <c r="E829" i="5" l="1"/>
  <c r="F829" i="5" s="1"/>
  <c r="E828" i="5"/>
  <c r="F828" i="5" s="1"/>
  <c r="E818" i="5"/>
  <c r="F818" i="5" s="1"/>
  <c r="E817" i="5"/>
  <c r="F817" i="5" s="1"/>
  <c r="E807" i="5"/>
  <c r="F807" i="5" s="1"/>
  <c r="E806" i="5"/>
  <c r="F806" i="5" s="1"/>
  <c r="E796" i="5"/>
  <c r="F796" i="5" s="1"/>
  <c r="E795" i="5"/>
  <c r="F795" i="5" s="1"/>
  <c r="F785" i="5"/>
  <c r="F784" i="5"/>
  <c r="E784" i="5"/>
  <c r="F777" i="5"/>
  <c r="G777" i="5" s="1"/>
  <c r="H777" i="5" s="1"/>
  <c r="F776" i="5"/>
  <c r="G776" i="5" s="1"/>
  <c r="H776" i="5" s="1"/>
  <c r="F775" i="5"/>
  <c r="G775" i="5" s="1"/>
  <c r="H775" i="5" s="1"/>
  <c r="F774" i="5"/>
  <c r="G774" i="5" s="1"/>
  <c r="H774" i="5" s="1"/>
  <c r="F770" i="5"/>
  <c r="G770" i="5" s="1"/>
  <c r="H770" i="5" s="1"/>
  <c r="F769" i="5"/>
  <c r="G769" i="5" s="1"/>
  <c r="H769" i="5" s="1"/>
  <c r="F768" i="5"/>
  <c r="G768" i="5" s="1"/>
  <c r="H768" i="5" s="1"/>
  <c r="F767" i="5"/>
  <c r="G767" i="5" s="1"/>
  <c r="H767" i="5" s="1"/>
  <c r="F763" i="5"/>
  <c r="G763" i="5" s="1"/>
  <c r="H763" i="5" s="1"/>
  <c r="F762" i="5"/>
  <c r="G762" i="5" s="1"/>
  <c r="H762" i="5" s="1"/>
  <c r="F761" i="5"/>
  <c r="G761" i="5" s="1"/>
  <c r="H761" i="5" s="1"/>
  <c r="F760" i="5"/>
  <c r="G760" i="5" s="1"/>
  <c r="H760" i="5" s="1"/>
  <c r="F756" i="5"/>
  <c r="G756" i="5" s="1"/>
  <c r="H756" i="5" s="1"/>
  <c r="G755" i="5"/>
  <c r="H755" i="5" s="1"/>
  <c r="F755" i="5"/>
  <c r="F754" i="5"/>
  <c r="G754" i="5" s="1"/>
  <c r="H754" i="5" s="1"/>
  <c r="G753" i="5"/>
  <c r="H753" i="5" s="1"/>
  <c r="F753" i="5"/>
  <c r="F749" i="5"/>
  <c r="G749" i="5" s="1"/>
  <c r="H749" i="5" s="1"/>
  <c r="G748" i="5"/>
  <c r="H748" i="5" s="1"/>
  <c r="F748" i="5"/>
  <c r="F747" i="5"/>
  <c r="G747" i="5" s="1"/>
  <c r="H747" i="5" s="1"/>
  <c r="G746" i="5"/>
  <c r="H746" i="5" s="1"/>
  <c r="F746" i="5"/>
  <c r="F742" i="5"/>
  <c r="G742" i="5" s="1"/>
  <c r="H742" i="5" s="1"/>
  <c r="G741" i="5"/>
  <c r="H741" i="5" s="1"/>
  <c r="F741" i="5"/>
  <c r="F740" i="5"/>
  <c r="G740" i="5" s="1"/>
  <c r="H740" i="5" s="1"/>
  <c r="G739" i="5"/>
  <c r="H739" i="5" s="1"/>
  <c r="F739" i="5"/>
  <c r="F738" i="5"/>
  <c r="G738" i="5" s="1"/>
  <c r="H738" i="5" s="1"/>
  <c r="F736" i="5"/>
  <c r="G736" i="5" s="1"/>
  <c r="H736" i="5" s="1"/>
  <c r="G735" i="5"/>
  <c r="H735" i="5" s="1"/>
  <c r="F735" i="5"/>
  <c r="F734" i="5"/>
  <c r="G734" i="5" s="1"/>
  <c r="H734" i="5" s="1"/>
  <c r="G733" i="5"/>
  <c r="H733" i="5" s="1"/>
  <c r="F733" i="5"/>
  <c r="F732" i="5"/>
  <c r="G732" i="5" s="1"/>
  <c r="H732" i="5" s="1"/>
  <c r="F730" i="5"/>
  <c r="G730" i="5" s="1"/>
  <c r="H730" i="5" s="1"/>
  <c r="G729" i="5"/>
  <c r="H729" i="5" s="1"/>
  <c r="F729" i="5"/>
  <c r="F728" i="5"/>
  <c r="G728" i="5" s="1"/>
  <c r="H728" i="5" s="1"/>
  <c r="G727" i="5"/>
  <c r="H727" i="5" s="1"/>
  <c r="F727" i="5"/>
  <c r="F726" i="5"/>
  <c r="G726" i="5" s="1"/>
  <c r="H726" i="5" s="1"/>
  <c r="F724" i="5"/>
  <c r="G724" i="5" s="1"/>
  <c r="H724" i="5" s="1"/>
  <c r="G723" i="5"/>
  <c r="H723" i="5" s="1"/>
  <c r="F723" i="5"/>
  <c r="F722" i="5"/>
  <c r="G722" i="5" s="1"/>
  <c r="H722" i="5" s="1"/>
  <c r="G721" i="5"/>
  <c r="H721" i="5" s="1"/>
  <c r="F721" i="5"/>
  <c r="F720" i="5"/>
  <c r="G720" i="5" s="1"/>
  <c r="H720" i="5" s="1"/>
  <c r="G718" i="5"/>
  <c r="H718" i="5" s="1"/>
  <c r="F718" i="5"/>
  <c r="F717" i="5"/>
  <c r="G717" i="5" s="1"/>
  <c r="H717" i="5" s="1"/>
  <c r="G716" i="5"/>
  <c r="H716" i="5" s="1"/>
  <c r="F716" i="5"/>
  <c r="F715" i="5"/>
  <c r="G715" i="5" s="1"/>
  <c r="H715" i="5" s="1"/>
  <c r="G714" i="5"/>
  <c r="H714" i="5" s="1"/>
  <c r="F714" i="5"/>
  <c r="F691" i="5"/>
  <c r="G691" i="5" s="1"/>
  <c r="H691" i="5" s="1"/>
  <c r="G690" i="5"/>
  <c r="H690" i="5" s="1"/>
  <c r="F690" i="5"/>
  <c r="F689" i="5"/>
  <c r="G689" i="5" s="1"/>
  <c r="H689" i="5" s="1"/>
  <c r="F688" i="5"/>
  <c r="G688" i="5" s="1"/>
  <c r="H688" i="5" s="1"/>
  <c r="F687" i="5"/>
  <c r="G687" i="5" s="1"/>
  <c r="H687" i="5" s="1"/>
  <c r="F682" i="5"/>
  <c r="G682" i="5" s="1"/>
  <c r="H682" i="5" s="1"/>
  <c r="G681" i="5"/>
  <c r="H681" i="5" s="1"/>
  <c r="F681" i="5"/>
  <c r="F680" i="5"/>
  <c r="G680" i="5" s="1"/>
  <c r="H680" i="5" s="1"/>
  <c r="G679" i="5"/>
  <c r="H679" i="5" s="1"/>
  <c r="F679" i="5"/>
  <c r="F678" i="5"/>
  <c r="G678" i="5" s="1"/>
  <c r="H678" i="5" s="1"/>
  <c r="F673" i="5"/>
  <c r="G673" i="5" s="1"/>
  <c r="H673" i="5" s="1"/>
  <c r="G672" i="5"/>
  <c r="H672" i="5" s="1"/>
  <c r="F672" i="5"/>
  <c r="F671" i="5"/>
  <c r="G671" i="5" s="1"/>
  <c r="H671" i="5" s="1"/>
  <c r="G670" i="5"/>
  <c r="H670" i="5" s="1"/>
  <c r="F670" i="5"/>
  <c r="F669" i="5"/>
  <c r="G669" i="5" s="1"/>
  <c r="H669" i="5" s="1"/>
  <c r="F663" i="5"/>
  <c r="G663" i="5" s="1"/>
  <c r="H663" i="5" s="1"/>
  <c r="F664" i="5"/>
  <c r="G664" i="5" s="1"/>
  <c r="H664" i="5" s="1"/>
  <c r="F662" i="5"/>
  <c r="G662" i="5" s="1"/>
  <c r="H662" i="5" s="1"/>
  <c r="G661" i="5"/>
  <c r="H661" i="5" s="1"/>
  <c r="F661" i="5"/>
  <c r="F660" i="5"/>
  <c r="G660" i="5" s="1"/>
  <c r="H660" i="5" s="1"/>
  <c r="F655" i="5"/>
  <c r="G655" i="5" s="1"/>
  <c r="H655" i="5" s="1"/>
  <c r="G654" i="5"/>
  <c r="H654" i="5" s="1"/>
  <c r="F654" i="5"/>
  <c r="F653" i="5"/>
  <c r="G653" i="5" s="1"/>
  <c r="H653" i="5" s="1"/>
  <c r="G652" i="5"/>
  <c r="H652" i="5" s="1"/>
  <c r="F652" i="5"/>
  <c r="F651" i="5"/>
  <c r="G651" i="5" s="1"/>
  <c r="H651" i="5" s="1"/>
  <c r="F644" i="5"/>
  <c r="G644" i="5" s="1"/>
  <c r="H644" i="5" s="1"/>
  <c r="G643" i="5"/>
  <c r="H643" i="5" s="1"/>
  <c r="F643" i="5"/>
  <c r="F642" i="5"/>
  <c r="G642" i="5" s="1"/>
  <c r="H642" i="5" s="1"/>
  <c r="G641" i="5"/>
  <c r="H641" i="5" s="1"/>
  <c r="F641" i="5"/>
  <c r="F640" i="5"/>
  <c r="G640" i="5" s="1"/>
  <c r="H640" i="5" s="1"/>
  <c r="F634" i="5"/>
  <c r="G634" i="5" s="1"/>
  <c r="H634" i="5" s="1"/>
  <c r="G633" i="5"/>
  <c r="H633" i="5" s="1"/>
  <c r="F633" i="5"/>
  <c r="F632" i="5"/>
  <c r="G632" i="5" s="1"/>
  <c r="H632" i="5" s="1"/>
  <c r="G631" i="5"/>
  <c r="H631" i="5" s="1"/>
  <c r="F631" i="5"/>
  <c r="F630" i="5"/>
  <c r="G630" i="5" s="1"/>
  <c r="H630" i="5" s="1"/>
  <c r="G624" i="5"/>
  <c r="H624" i="5" s="1"/>
  <c r="F624" i="5"/>
  <c r="F623" i="5"/>
  <c r="G623" i="5" s="1"/>
  <c r="H623" i="5" s="1"/>
  <c r="G622" i="5"/>
  <c r="H622" i="5" s="1"/>
  <c r="F622" i="5"/>
  <c r="F621" i="5"/>
  <c r="G621" i="5" s="1"/>
  <c r="H621" i="5" s="1"/>
  <c r="G620" i="5"/>
  <c r="H620" i="5" s="1"/>
  <c r="F620" i="5"/>
  <c r="F604" i="5"/>
  <c r="G604" i="5" s="1"/>
  <c r="H604" i="5" s="1"/>
  <c r="G603" i="5"/>
  <c r="H603" i="5" s="1"/>
  <c r="F603" i="5"/>
  <c r="F602" i="5"/>
  <c r="G602" i="5" s="1"/>
  <c r="H602" i="5" s="1"/>
  <c r="G601" i="5"/>
  <c r="H601" i="5" s="1"/>
  <c r="F601" i="5"/>
  <c r="F600" i="5"/>
  <c r="G600" i="5" s="1"/>
  <c r="H600" i="5" s="1"/>
  <c r="D34" i="4"/>
  <c r="D35" i="4" s="1"/>
  <c r="D36" i="4" s="1"/>
  <c r="D37" i="4" s="1"/>
  <c r="H22" i="4" l="1"/>
  <c r="G22" i="4"/>
  <c r="F22" i="4"/>
  <c r="E22" i="4"/>
  <c r="D22" i="4"/>
  <c r="H21" i="4"/>
  <c r="G21" i="4"/>
  <c r="F21" i="4"/>
  <c r="E21" i="4"/>
  <c r="D21" i="4"/>
  <c r="H20" i="4"/>
  <c r="G20" i="4"/>
  <c r="F20" i="4"/>
  <c r="E20" i="4"/>
  <c r="D20" i="4"/>
  <c r="H19" i="4"/>
  <c r="G19" i="4"/>
  <c r="F19" i="4"/>
  <c r="E19" i="4"/>
  <c r="D19" i="4"/>
  <c r="A99" i="1" l="1"/>
  <c r="D607" i="5" l="1"/>
  <c r="B1" i="6" l="1"/>
  <c r="H4" i="2" l="1"/>
  <c r="G4" i="2"/>
  <c r="F4" i="2"/>
  <c r="E4" i="2"/>
  <c r="H4" i="21"/>
  <c r="A61" i="4" l="1"/>
  <c r="A31" i="5" l="1"/>
  <c r="A25" i="5"/>
  <c r="A19" i="5"/>
  <c r="A13" i="5"/>
  <c r="A7" i="5"/>
  <c r="A157" i="5"/>
  <c r="A189" i="5"/>
  <c r="A137" i="5"/>
  <c r="A130" i="5"/>
  <c r="A125" i="5"/>
  <c r="A120" i="5"/>
  <c r="A115" i="5"/>
  <c r="A110" i="5"/>
  <c r="A411" i="5"/>
  <c r="H404" i="5"/>
  <c r="G404" i="5"/>
  <c r="F404" i="5"/>
  <c r="E404" i="5"/>
  <c r="D404" i="5"/>
  <c r="H403" i="5"/>
  <c r="G403" i="5"/>
  <c r="F403" i="5"/>
  <c r="E403" i="5"/>
  <c r="D403" i="5"/>
  <c r="H402" i="5"/>
  <c r="G402" i="5"/>
  <c r="F402" i="5"/>
  <c r="E402" i="5"/>
  <c r="D402" i="5"/>
  <c r="H401" i="5"/>
  <c r="G401" i="5"/>
  <c r="F401" i="5"/>
  <c r="E401" i="5"/>
  <c r="D401" i="5"/>
  <c r="H400" i="5"/>
  <c r="G400" i="5"/>
  <c r="E400" i="5"/>
  <c r="D400" i="5"/>
  <c r="H399" i="5"/>
  <c r="G399" i="5"/>
  <c r="F399" i="5"/>
  <c r="E399" i="5"/>
  <c r="D399" i="5"/>
  <c r="H398" i="5"/>
  <c r="G398" i="5"/>
  <c r="F398" i="5"/>
  <c r="E398" i="5"/>
  <c r="D398" i="5"/>
  <c r="H397" i="5"/>
  <c r="G397" i="5"/>
  <c r="F397" i="5"/>
  <c r="E397" i="5"/>
  <c r="D397" i="5"/>
  <c r="F396" i="5"/>
  <c r="E396" i="5"/>
  <c r="D396" i="5"/>
  <c r="H393" i="5"/>
  <c r="G393" i="5"/>
  <c r="F393" i="5"/>
  <c r="E393" i="5"/>
  <c r="D393" i="5"/>
  <c r="H392" i="5"/>
  <c r="G392" i="5"/>
  <c r="F392" i="5"/>
  <c r="E392" i="5"/>
  <c r="D392" i="5"/>
  <c r="H391" i="5"/>
  <c r="G391" i="5"/>
  <c r="F391" i="5"/>
  <c r="E391" i="5"/>
  <c r="D391" i="5"/>
  <c r="H390" i="5"/>
  <c r="G390" i="5"/>
  <c r="F390" i="5"/>
  <c r="E390" i="5"/>
  <c r="D390" i="5"/>
  <c r="H389" i="5"/>
  <c r="G389" i="5"/>
  <c r="E389" i="5"/>
  <c r="D389" i="5"/>
  <c r="H388" i="5"/>
  <c r="G388" i="5"/>
  <c r="F388" i="5"/>
  <c r="E388" i="5"/>
  <c r="D388" i="5"/>
  <c r="H387" i="5"/>
  <c r="G387" i="5"/>
  <c r="F387" i="5"/>
  <c r="E387" i="5"/>
  <c r="D387" i="5"/>
  <c r="H386" i="5"/>
  <c r="G386" i="5"/>
  <c r="F386" i="5"/>
  <c r="E386" i="5"/>
  <c r="D386" i="5"/>
  <c r="F385" i="5"/>
  <c r="E385" i="5"/>
  <c r="D385" i="5"/>
  <c r="H382" i="5"/>
  <c r="G382" i="5"/>
  <c r="F382" i="5"/>
  <c r="E382" i="5"/>
  <c r="D382" i="5"/>
  <c r="H381" i="5"/>
  <c r="G381" i="5"/>
  <c r="F381" i="5"/>
  <c r="E381" i="5"/>
  <c r="D381" i="5"/>
  <c r="H380" i="5"/>
  <c r="G380" i="5"/>
  <c r="F380" i="5"/>
  <c r="E380" i="5"/>
  <c r="D380" i="5"/>
  <c r="H379" i="5"/>
  <c r="G379" i="5"/>
  <c r="F379" i="5"/>
  <c r="E379" i="5"/>
  <c r="D379" i="5"/>
  <c r="H378" i="5"/>
  <c r="G378" i="5"/>
  <c r="E378" i="5"/>
  <c r="D378" i="5"/>
  <c r="H377" i="5"/>
  <c r="G377" i="5"/>
  <c r="F377" i="5"/>
  <c r="E377" i="5"/>
  <c r="D377" i="5"/>
  <c r="H376" i="5"/>
  <c r="G376" i="5"/>
  <c r="F376" i="5"/>
  <c r="E376" i="5"/>
  <c r="D376" i="5"/>
  <c r="H375" i="5"/>
  <c r="G375" i="5"/>
  <c r="F375" i="5"/>
  <c r="E375" i="5"/>
  <c r="D375" i="5"/>
  <c r="F374" i="5"/>
  <c r="E374" i="5"/>
  <c r="D374" i="5"/>
  <c r="H371" i="5"/>
  <c r="G371" i="5"/>
  <c r="F371" i="5"/>
  <c r="E371" i="5"/>
  <c r="D371" i="5"/>
  <c r="H370" i="5"/>
  <c r="G370" i="5"/>
  <c r="F370" i="5"/>
  <c r="E370" i="5"/>
  <c r="D370" i="5"/>
  <c r="H369" i="5"/>
  <c r="G369" i="5"/>
  <c r="F369" i="5"/>
  <c r="E369" i="5"/>
  <c r="D369" i="5"/>
  <c r="H368" i="5"/>
  <c r="G368" i="5"/>
  <c r="F368" i="5"/>
  <c r="E368" i="5"/>
  <c r="D368" i="5"/>
  <c r="H367" i="5"/>
  <c r="G367" i="5"/>
  <c r="E367" i="5"/>
  <c r="D367" i="5"/>
  <c r="H366" i="5"/>
  <c r="G366" i="5"/>
  <c r="F366" i="5"/>
  <c r="E366" i="5"/>
  <c r="D366" i="5"/>
  <c r="H365" i="5"/>
  <c r="G365" i="5"/>
  <c r="F365" i="5"/>
  <c r="E365" i="5"/>
  <c r="D365" i="5"/>
  <c r="H364" i="5"/>
  <c r="G364" i="5"/>
  <c r="F364" i="5"/>
  <c r="E364" i="5"/>
  <c r="D364" i="5"/>
  <c r="F363" i="5"/>
  <c r="E363" i="5"/>
  <c r="D363" i="5"/>
  <c r="H360" i="5"/>
  <c r="G360" i="5"/>
  <c r="F360" i="5"/>
  <c r="E360" i="5"/>
  <c r="D360" i="5"/>
  <c r="H359" i="5"/>
  <c r="G359" i="5"/>
  <c r="F359" i="5"/>
  <c r="E359" i="5"/>
  <c r="D359" i="5"/>
  <c r="H358" i="5"/>
  <c r="G358" i="5"/>
  <c r="F358" i="5"/>
  <c r="E358" i="5"/>
  <c r="D358" i="5"/>
  <c r="H357" i="5"/>
  <c r="G357" i="5"/>
  <c r="F357" i="5"/>
  <c r="E357" i="5"/>
  <c r="D357" i="5"/>
  <c r="H356" i="5"/>
  <c r="G356" i="5"/>
  <c r="E356" i="5"/>
  <c r="D356" i="5"/>
  <c r="H355" i="5"/>
  <c r="G355" i="5"/>
  <c r="F355" i="5"/>
  <c r="E355" i="5"/>
  <c r="D355" i="5"/>
  <c r="H354" i="5"/>
  <c r="G354" i="5"/>
  <c r="F354" i="5"/>
  <c r="E354" i="5"/>
  <c r="D354" i="5"/>
  <c r="H353" i="5"/>
  <c r="G353" i="5"/>
  <c r="F353" i="5"/>
  <c r="E353" i="5"/>
  <c r="D353" i="5"/>
  <c r="E352" i="5"/>
  <c r="F352" i="5"/>
  <c r="D352" i="5"/>
  <c r="G4" i="21" l="1"/>
  <c r="F4" i="21"/>
  <c r="E4" i="21"/>
  <c r="D4" i="21"/>
  <c r="E138" i="5" l="1"/>
  <c r="D138" i="5"/>
  <c r="E284" i="5"/>
  <c r="D284" i="5"/>
  <c r="E283" i="5"/>
  <c r="D283" i="5"/>
  <c r="E282" i="5"/>
  <c r="D282" i="5"/>
  <c r="E281" i="5"/>
  <c r="D281" i="5"/>
  <c r="E280" i="5"/>
  <c r="D280" i="5"/>
  <c r="E278" i="5"/>
  <c r="D278" i="5"/>
  <c r="E277" i="5"/>
  <c r="D277" i="5"/>
  <c r="E276" i="5"/>
  <c r="D276" i="5"/>
  <c r="E275" i="5"/>
  <c r="D275" i="5"/>
  <c r="E274" i="5"/>
  <c r="D274" i="5"/>
  <c r="E272" i="5"/>
  <c r="D272" i="5"/>
  <c r="E271" i="5"/>
  <c r="D271" i="5"/>
  <c r="E270" i="5"/>
  <c r="D270" i="5"/>
  <c r="E269" i="5"/>
  <c r="D269" i="5"/>
  <c r="E268" i="5"/>
  <c r="D268" i="5"/>
  <c r="E266" i="5"/>
  <c r="D266" i="5"/>
  <c r="E265" i="5"/>
  <c r="D265" i="5"/>
  <c r="E264" i="5"/>
  <c r="D264" i="5"/>
  <c r="E263" i="5"/>
  <c r="D263" i="5"/>
  <c r="E262" i="5"/>
  <c r="D262" i="5"/>
  <c r="E260" i="5"/>
  <c r="D260" i="5"/>
  <c r="E259" i="5"/>
  <c r="D259" i="5"/>
  <c r="E258" i="5"/>
  <c r="D258" i="5"/>
  <c r="E257" i="5"/>
  <c r="D257" i="5"/>
  <c r="E256" i="5"/>
  <c r="D256" i="5"/>
  <c r="A590" i="5"/>
  <c r="A583" i="5"/>
  <c r="A576" i="5"/>
  <c r="A569" i="5"/>
  <c r="A562" i="5"/>
  <c r="A561" i="5"/>
  <c r="A554" i="5"/>
  <c r="A547" i="5"/>
  <c r="A540" i="5"/>
  <c r="A533" i="5"/>
  <c r="A526" i="5"/>
  <c r="A525" i="5"/>
  <c r="A523" i="5"/>
  <c r="A522" i="5"/>
  <c r="A521" i="5"/>
  <c r="A520" i="5"/>
  <c r="A519" i="5"/>
  <c r="A511" i="5"/>
  <c r="A504" i="5"/>
  <c r="A497" i="5"/>
  <c r="A490" i="5"/>
  <c r="A483" i="5"/>
  <c r="A475" i="5"/>
  <c r="A468" i="5"/>
  <c r="A461" i="5"/>
  <c r="A454" i="5"/>
  <c r="A447" i="5"/>
  <c r="A439" i="5"/>
  <c r="A432" i="5"/>
  <c r="A425" i="5"/>
  <c r="A418" i="5"/>
  <c r="A395" i="5"/>
  <c r="A384" i="5"/>
  <c r="A373" i="5"/>
  <c r="A369" i="5"/>
  <c r="A380" i="5" s="1"/>
  <c r="A391" i="5" s="1"/>
  <c r="A402" i="5" s="1"/>
  <c r="A368" i="5"/>
  <c r="A379" i="5" s="1"/>
  <c r="A390" i="5" s="1"/>
  <c r="A401" i="5" s="1"/>
  <c r="A367" i="5"/>
  <c r="A378" i="5" s="1"/>
  <c r="A389" i="5" s="1"/>
  <c r="A400" i="5" s="1"/>
  <c r="A366" i="5"/>
  <c r="A377" i="5" s="1"/>
  <c r="A388" i="5" s="1"/>
  <c r="A399" i="5" s="1"/>
  <c r="A365" i="5"/>
  <c r="A376" i="5" s="1"/>
  <c r="A387" i="5" s="1"/>
  <c r="A398" i="5" s="1"/>
  <c r="A364" i="5"/>
  <c r="A375" i="5" s="1"/>
  <c r="A386" i="5" s="1"/>
  <c r="A397" i="5" s="1"/>
  <c r="A363" i="5"/>
  <c r="A374" i="5" s="1"/>
  <c r="A385" i="5" s="1"/>
  <c r="A396" i="5" s="1"/>
  <c r="A362" i="5"/>
  <c r="A360" i="5"/>
  <c r="A371" i="5" s="1"/>
  <c r="A382" i="5" s="1"/>
  <c r="A393" i="5" s="1"/>
  <c r="A404" i="5" s="1"/>
  <c r="A359" i="5"/>
  <c r="A370" i="5" s="1"/>
  <c r="A381" i="5" s="1"/>
  <c r="A392" i="5" s="1"/>
  <c r="A403" i="5" s="1"/>
  <c r="F138" i="5"/>
  <c r="A351" i="5"/>
  <c r="A350" i="5"/>
  <c r="G826" i="5"/>
  <c r="A825" i="5"/>
  <c r="G815" i="5"/>
  <c r="A814" i="5"/>
  <c r="G804" i="5"/>
  <c r="A803" i="5"/>
  <c r="A799" i="5"/>
  <c r="A810" i="5" s="1"/>
  <c r="A821" i="5" s="1"/>
  <c r="A832" i="5" s="1"/>
  <c r="A798" i="5"/>
  <c r="A809" i="5" s="1"/>
  <c r="A820" i="5" s="1"/>
  <c r="A831" i="5" s="1"/>
  <c r="A797" i="5"/>
  <c r="A808" i="5" s="1"/>
  <c r="A819" i="5" s="1"/>
  <c r="A830" i="5" s="1"/>
  <c r="A796" i="5"/>
  <c r="A807" i="5" s="1"/>
  <c r="A818" i="5" s="1"/>
  <c r="A829" i="5" s="1"/>
  <c r="A795" i="5"/>
  <c r="A806" i="5" s="1"/>
  <c r="A817" i="5" s="1"/>
  <c r="A828" i="5" s="1"/>
  <c r="A794" i="5"/>
  <c r="A805" i="5" s="1"/>
  <c r="A816" i="5" s="1"/>
  <c r="A827" i="5" s="1"/>
  <c r="G793" i="5"/>
  <c r="A793" i="5"/>
  <c r="A804" i="5" s="1"/>
  <c r="A815" i="5" s="1"/>
  <c r="A826" i="5" s="1"/>
  <c r="A792" i="5"/>
  <c r="A790" i="5"/>
  <c r="A801" i="5" s="1"/>
  <c r="A812" i="5" s="1"/>
  <c r="A823" i="5" s="1"/>
  <c r="A834" i="5" s="1"/>
  <c r="A789" i="5"/>
  <c r="A800" i="5" s="1"/>
  <c r="A811" i="5" s="1"/>
  <c r="A822" i="5" s="1"/>
  <c r="A833" i="5" s="1"/>
  <c r="G782" i="5"/>
  <c r="A781" i="5"/>
  <c r="H782" i="5" l="1"/>
  <c r="G352" i="5"/>
  <c r="G138" i="5" s="1"/>
  <c r="H793" i="5"/>
  <c r="H363" i="5" s="1"/>
  <c r="G363" i="5"/>
  <c r="H804" i="5"/>
  <c r="H374" i="5" s="1"/>
  <c r="G374" i="5"/>
  <c r="H815" i="5"/>
  <c r="H385" i="5" s="1"/>
  <c r="G385" i="5"/>
  <c r="H826" i="5"/>
  <c r="H396" i="5" s="1"/>
  <c r="G396" i="5"/>
  <c r="H352" i="5" l="1"/>
  <c r="H138" i="5" s="1"/>
  <c r="A334" i="21"/>
  <c r="A328" i="21"/>
  <c r="A322" i="21"/>
  <c r="A316" i="21"/>
  <c r="A310" i="21"/>
  <c r="A309" i="21"/>
  <c r="A303" i="21"/>
  <c r="A297" i="21"/>
  <c r="A291" i="21"/>
  <c r="A285" i="21"/>
  <c r="A279" i="21"/>
  <c r="A278" i="21"/>
  <c r="A111" i="21" s="1"/>
  <c r="A276" i="21"/>
  <c r="A275" i="21"/>
  <c r="A274" i="21"/>
  <c r="A273" i="21"/>
  <c r="A272" i="21"/>
  <c r="A265" i="21"/>
  <c r="A259" i="21"/>
  <c r="A253" i="21"/>
  <c r="A247" i="21"/>
  <c r="A241" i="21"/>
  <c r="A234" i="21"/>
  <c r="A228" i="21"/>
  <c r="A222" i="21"/>
  <c r="A216" i="21"/>
  <c r="A210" i="21"/>
  <c r="A203" i="21"/>
  <c r="A35" i="21" s="1"/>
  <c r="A197" i="21"/>
  <c r="A191" i="21"/>
  <c r="A185" i="21"/>
  <c r="A17" i="21" s="1"/>
  <c r="A179" i="21"/>
  <c r="A11" i="21" s="1"/>
  <c r="A167" i="21"/>
  <c r="A161" i="21"/>
  <c r="A155" i="21"/>
  <c r="A149" i="21"/>
  <c r="A143" i="21"/>
  <c r="A142" i="21"/>
  <c r="A136" i="21"/>
  <c r="A130" i="21"/>
  <c r="A124" i="21"/>
  <c r="A118" i="21"/>
  <c r="A112" i="21"/>
  <c r="A109" i="21"/>
  <c r="A108" i="21"/>
  <c r="A107" i="21"/>
  <c r="A106" i="21"/>
  <c r="A105" i="21"/>
  <c r="A104" i="21"/>
  <c r="A92" i="21"/>
  <c r="A86" i="21"/>
  <c r="A80" i="21"/>
  <c r="A74" i="21"/>
  <c r="A73" i="21"/>
  <c r="A61" i="21"/>
  <c r="A55" i="21"/>
  <c r="A49" i="21"/>
  <c r="A43" i="21"/>
  <c r="A41" i="21"/>
  <c r="A23" i="21"/>
  <c r="A9" i="21"/>
  <c r="A8" i="21"/>
  <c r="B2" i="21"/>
  <c r="G144" i="21" l="1"/>
  <c r="G145" i="21"/>
  <c r="G146" i="21"/>
  <c r="G147" i="21"/>
  <c r="G150" i="21"/>
  <c r="G151" i="21"/>
  <c r="G152" i="21"/>
  <c r="G153" i="21"/>
  <c r="G156" i="21"/>
  <c r="G157" i="21"/>
  <c r="G158" i="21"/>
  <c r="G159" i="21"/>
  <c r="G162" i="21"/>
  <c r="G163" i="21"/>
  <c r="G164" i="21"/>
  <c r="G165" i="21"/>
  <c r="G168" i="21"/>
  <c r="G169" i="21"/>
  <c r="G170" i="21"/>
  <c r="G171" i="21"/>
  <c r="F171" i="21"/>
  <c r="F169" i="21"/>
  <c r="F165" i="21"/>
  <c r="F163" i="21"/>
  <c r="F159" i="21"/>
  <c r="F157" i="21"/>
  <c r="F153" i="21"/>
  <c r="F151" i="21"/>
  <c r="F144" i="21"/>
  <c r="F146" i="21"/>
  <c r="H144" i="21"/>
  <c r="H145" i="21"/>
  <c r="H146" i="21"/>
  <c r="H147" i="21"/>
  <c r="H150" i="21"/>
  <c r="H151" i="21"/>
  <c r="H152" i="21"/>
  <c r="H153" i="21"/>
  <c r="H156" i="21"/>
  <c r="H157" i="21"/>
  <c r="H158" i="21"/>
  <c r="H159" i="21"/>
  <c r="H162" i="21"/>
  <c r="H163" i="21"/>
  <c r="H164" i="21"/>
  <c r="H165" i="21"/>
  <c r="H168" i="21"/>
  <c r="H169" i="21"/>
  <c r="H170" i="21"/>
  <c r="H171" i="21"/>
  <c r="F170" i="21"/>
  <c r="F168" i="21"/>
  <c r="F164" i="21"/>
  <c r="F162" i="21"/>
  <c r="F158" i="21"/>
  <c r="F156" i="21"/>
  <c r="F152" i="21"/>
  <c r="F150" i="21"/>
  <c r="F147" i="21"/>
  <c r="F145" i="21"/>
  <c r="A29" i="21"/>
  <c r="A15" i="1"/>
  <c r="A254" i="5"/>
  <c r="G47" i="21"/>
  <c r="H46" i="21"/>
  <c r="F46" i="21"/>
  <c r="G45" i="21"/>
  <c r="H44" i="21"/>
  <c r="F44" i="21"/>
  <c r="H47" i="21"/>
  <c r="F47" i="21"/>
  <c r="G46" i="21"/>
  <c r="H45" i="21"/>
  <c r="F45" i="21"/>
  <c r="G44" i="21"/>
  <c r="G59" i="21"/>
  <c r="H58" i="21"/>
  <c r="F58" i="21"/>
  <c r="G57" i="21"/>
  <c r="H56" i="21"/>
  <c r="F56" i="21"/>
  <c r="H59" i="21"/>
  <c r="F59" i="21"/>
  <c r="G58" i="21"/>
  <c r="H57" i="21"/>
  <c r="F57" i="21"/>
  <c r="G56" i="21"/>
  <c r="G71" i="21"/>
  <c r="H70" i="21"/>
  <c r="H71" i="21"/>
  <c r="F71" i="21"/>
  <c r="G70" i="21"/>
  <c r="F70" i="21"/>
  <c r="G69" i="21"/>
  <c r="H68" i="21"/>
  <c r="F68" i="21"/>
  <c r="H69" i="21"/>
  <c r="F69" i="21"/>
  <c r="H82" i="21"/>
  <c r="G263" i="21"/>
  <c r="G262" i="21"/>
  <c r="G95" i="21" s="1"/>
  <c r="H269" i="21"/>
  <c r="G106" i="21"/>
  <c r="H106" i="21"/>
  <c r="F106" i="21"/>
  <c r="G108" i="21"/>
  <c r="H108" i="21"/>
  <c r="F108" i="21"/>
  <c r="H140" i="21"/>
  <c r="H9" i="21"/>
  <c r="F9" i="21"/>
  <c r="G9" i="21"/>
  <c r="H8" i="21"/>
  <c r="F8" i="21"/>
  <c r="G8" i="21"/>
  <c r="G53" i="21"/>
  <c r="H52" i="21"/>
  <c r="F52" i="21"/>
  <c r="G51" i="21"/>
  <c r="H50" i="21"/>
  <c r="F50" i="21"/>
  <c r="F367" i="5" s="1"/>
  <c r="H53" i="21"/>
  <c r="F53" i="21"/>
  <c r="G52" i="21"/>
  <c r="H51" i="21"/>
  <c r="F51" i="21"/>
  <c r="G50" i="21"/>
  <c r="G65" i="21"/>
  <c r="H64" i="21"/>
  <c r="F64" i="21"/>
  <c r="G63" i="21"/>
  <c r="H62" i="21"/>
  <c r="F62" i="21"/>
  <c r="F389" i="5" s="1"/>
  <c r="H65" i="21"/>
  <c r="F65" i="21"/>
  <c r="G64" i="21"/>
  <c r="H63" i="21"/>
  <c r="F63" i="21"/>
  <c r="G62" i="21"/>
  <c r="G76" i="21"/>
  <c r="G88" i="21"/>
  <c r="H105" i="21"/>
  <c r="F105" i="21"/>
  <c r="G105" i="21"/>
  <c r="H107" i="21"/>
  <c r="F107" i="21"/>
  <c r="G107" i="21"/>
  <c r="H109" i="21"/>
  <c r="F109" i="21"/>
  <c r="G109" i="21"/>
  <c r="A67" i="21"/>
  <c r="A98" i="21"/>
  <c r="G68" i="21"/>
  <c r="G113" i="21"/>
  <c r="G114" i="21"/>
  <c r="G115" i="21"/>
  <c r="G116" i="21"/>
  <c r="F119" i="21"/>
  <c r="H119" i="21"/>
  <c r="F120" i="21"/>
  <c r="H120" i="21"/>
  <c r="F121" i="21"/>
  <c r="H121" i="21"/>
  <c r="F122" i="21"/>
  <c r="H122" i="21"/>
  <c r="G125" i="21"/>
  <c r="G126" i="21"/>
  <c r="G127" i="21"/>
  <c r="G128" i="21"/>
  <c r="F131" i="21"/>
  <c r="H131" i="21"/>
  <c r="F132" i="21"/>
  <c r="H132" i="21"/>
  <c r="F133" i="21"/>
  <c r="H133" i="21"/>
  <c r="F134" i="21"/>
  <c r="H134" i="21"/>
  <c r="G137" i="21"/>
  <c r="G138" i="21"/>
  <c r="G139" i="21"/>
  <c r="G140" i="21"/>
  <c r="F113" i="21"/>
  <c r="H113" i="21"/>
  <c r="F114" i="21"/>
  <c r="H114" i="21"/>
  <c r="F115" i="21"/>
  <c r="H115" i="21"/>
  <c r="F116" i="21"/>
  <c r="H116" i="21"/>
  <c r="G119" i="21"/>
  <c r="G120" i="21"/>
  <c r="G121" i="21"/>
  <c r="G122" i="21"/>
  <c r="F125" i="21"/>
  <c r="H125" i="21"/>
  <c r="F126" i="21"/>
  <c r="H126" i="21"/>
  <c r="F127" i="21"/>
  <c r="H127" i="21"/>
  <c r="F128" i="21"/>
  <c r="H128" i="21"/>
  <c r="G131" i="21"/>
  <c r="G132" i="21"/>
  <c r="G133" i="21"/>
  <c r="G134" i="21"/>
  <c r="F137" i="21"/>
  <c r="H137" i="21"/>
  <c r="F138" i="21"/>
  <c r="H138" i="21"/>
  <c r="F139" i="21"/>
  <c r="H139" i="21"/>
  <c r="F140" i="21"/>
  <c r="G409" i="5" l="1"/>
  <c r="H409" i="5"/>
  <c r="G36" i="21"/>
  <c r="H37" i="21"/>
  <c r="F39" i="21"/>
  <c r="F36" i="21"/>
  <c r="G37" i="21"/>
  <c r="H38" i="21"/>
  <c r="G24" i="21"/>
  <c r="H25" i="21"/>
  <c r="F27" i="21"/>
  <c r="F24" i="21"/>
  <c r="G25" i="21"/>
  <c r="H26" i="21"/>
  <c r="F37" i="21"/>
  <c r="G38" i="21"/>
  <c r="H39" i="21"/>
  <c r="H36" i="21"/>
  <c r="F38" i="21"/>
  <c r="G39" i="21"/>
  <c r="F25" i="21"/>
  <c r="G26" i="21"/>
  <c r="H27" i="21"/>
  <c r="H24" i="21"/>
  <c r="F26" i="21"/>
  <c r="G12" i="21"/>
  <c r="H13" i="21"/>
  <c r="F15" i="21"/>
  <c r="F12" i="21"/>
  <c r="G13" i="21"/>
  <c r="H14" i="21"/>
  <c r="G30" i="21"/>
  <c r="H31" i="21"/>
  <c r="F33" i="21"/>
  <c r="F30" i="21"/>
  <c r="G31" i="21"/>
  <c r="H32" i="21"/>
  <c r="G18" i="21"/>
  <c r="H19" i="21"/>
  <c r="F21" i="21"/>
  <c r="F18" i="21"/>
  <c r="G19" i="21"/>
  <c r="H20" i="21"/>
  <c r="G27" i="21"/>
  <c r="F13" i="21"/>
  <c r="G14" i="21"/>
  <c r="H15" i="21"/>
  <c r="H12" i="21"/>
  <c r="F14" i="21"/>
  <c r="G15" i="21"/>
  <c r="F31" i="21"/>
  <c r="G32" i="21"/>
  <c r="H33" i="21"/>
  <c r="H30" i="21"/>
  <c r="F32" i="21"/>
  <c r="G33" i="21"/>
  <c r="F19" i="21"/>
  <c r="G20" i="21"/>
  <c r="H21" i="21"/>
  <c r="H18" i="21"/>
  <c r="F20" i="21"/>
  <c r="G21" i="21"/>
  <c r="G423" i="5" s="1"/>
  <c r="G473" i="5"/>
  <c r="H473" i="5" s="1"/>
  <c r="H278" i="5" s="1"/>
  <c r="G94" i="21"/>
  <c r="G521" i="5"/>
  <c r="G470" i="5"/>
  <c r="H470" i="5" s="1"/>
  <c r="G456" i="5"/>
  <c r="G263" i="5" s="1"/>
  <c r="G472" i="5"/>
  <c r="H100" i="21"/>
  <c r="G458" i="5"/>
  <c r="H94" i="21"/>
  <c r="H263" i="21"/>
  <c r="H96" i="21" s="1"/>
  <c r="G100" i="21"/>
  <c r="G269" i="21"/>
  <c r="G102" i="21" s="1"/>
  <c r="G471" i="5"/>
  <c r="G276" i="5" s="1"/>
  <c r="G522" i="5"/>
  <c r="H522" i="5" s="1"/>
  <c r="G457" i="5"/>
  <c r="H457" i="5" s="1"/>
  <c r="H264" i="5" s="1"/>
  <c r="G519" i="5"/>
  <c r="H519" i="5" s="1"/>
  <c r="G257" i="21"/>
  <c r="G90" i="21" s="1"/>
  <c r="G520" i="5"/>
  <c r="H520" i="5" s="1"/>
  <c r="G459" i="5"/>
  <c r="H459" i="5" s="1"/>
  <c r="H266" i="5" s="1"/>
  <c r="G245" i="21"/>
  <c r="G78" i="21" s="1"/>
  <c r="G96" i="21"/>
  <c r="G93" i="21"/>
  <c r="H251" i="21"/>
  <c r="H84" i="21" s="1"/>
  <c r="F378" i="5"/>
  <c r="F277" i="5"/>
  <c r="F274" i="5"/>
  <c r="F278" i="5"/>
  <c r="F276" i="5"/>
  <c r="F275" i="5"/>
  <c r="F265" i="5"/>
  <c r="F262" i="5"/>
  <c r="F266" i="5"/>
  <c r="F264" i="5"/>
  <c r="F263" i="5"/>
  <c r="G251" i="21"/>
  <c r="G84" i="21" s="1"/>
  <c r="G82" i="21"/>
  <c r="G250" i="21"/>
  <c r="G83" i="21" s="1"/>
  <c r="G81" i="21"/>
  <c r="G278" i="5"/>
  <c r="G523" i="5"/>
  <c r="G266" i="5"/>
  <c r="G268" i="21"/>
  <c r="G101" i="21" s="1"/>
  <c r="G99" i="21"/>
  <c r="H262" i="21"/>
  <c r="H95" i="21" s="1"/>
  <c r="H93" i="21"/>
  <c r="G256" i="21"/>
  <c r="G89" i="21" s="1"/>
  <c r="G87" i="21"/>
  <c r="H250" i="21"/>
  <c r="H83" i="21" s="1"/>
  <c r="H81" i="21"/>
  <c r="G244" i="21"/>
  <c r="G77" i="21" s="1"/>
  <c r="G75" i="21"/>
  <c r="H102" i="21"/>
  <c r="H268" i="21"/>
  <c r="H101" i="21" s="1"/>
  <c r="H99" i="21"/>
  <c r="F257" i="21"/>
  <c r="F90" i="21" s="1"/>
  <c r="F88" i="21"/>
  <c r="G500" i="5" s="1"/>
  <c r="F256" i="21"/>
  <c r="F89" i="21" s="1"/>
  <c r="F87" i="21"/>
  <c r="F245" i="21"/>
  <c r="F78" i="21" s="1"/>
  <c r="F76" i="21"/>
  <c r="G486" i="5" s="1"/>
  <c r="F244" i="21"/>
  <c r="F77" i="21" s="1"/>
  <c r="F75" i="21"/>
  <c r="F263" i="21"/>
  <c r="F96" i="21" s="1"/>
  <c r="F94" i="21"/>
  <c r="F262" i="21"/>
  <c r="F95" i="21" s="1"/>
  <c r="G508" i="5" s="1"/>
  <c r="G505" i="5" s="1"/>
  <c r="F93" i="21"/>
  <c r="F251" i="21"/>
  <c r="F84" i="21" s="1"/>
  <c r="F82" i="21"/>
  <c r="F250" i="21"/>
  <c r="F83" i="21" s="1"/>
  <c r="F81" i="21"/>
  <c r="F269" i="21"/>
  <c r="F102" i="21" s="1"/>
  <c r="F100" i="21"/>
  <c r="F268" i="21"/>
  <c r="F101" i="21" s="1"/>
  <c r="F99" i="21"/>
  <c r="H257" i="21"/>
  <c r="H90" i="21" s="1"/>
  <c r="H88" i="21"/>
  <c r="H256" i="21"/>
  <c r="H89" i="21" s="1"/>
  <c r="H87" i="21"/>
  <c r="H245" i="21"/>
  <c r="H78" i="21" s="1"/>
  <c r="H76" i="21"/>
  <c r="H244" i="21"/>
  <c r="H77" i="21" s="1"/>
  <c r="H75" i="21"/>
  <c r="G274" i="5" l="1"/>
  <c r="G469" i="5"/>
  <c r="G262" i="5"/>
  <c r="G455" i="5"/>
  <c r="H456" i="5"/>
  <c r="H263" i="5" s="1"/>
  <c r="G444" i="5"/>
  <c r="H444" i="5" s="1"/>
  <c r="G494" i="5"/>
  <c r="G491" i="5" s="1"/>
  <c r="G495" i="5"/>
  <c r="H495" i="5" s="1"/>
  <c r="G509" i="5"/>
  <c r="H509" i="5" s="1"/>
  <c r="G502" i="5"/>
  <c r="H502" i="5" s="1"/>
  <c r="H471" i="5"/>
  <c r="H276" i="5" s="1"/>
  <c r="G430" i="5"/>
  <c r="H430" i="5" s="1"/>
  <c r="H423" i="5"/>
  <c r="G435" i="5"/>
  <c r="H435" i="5" s="1"/>
  <c r="G414" i="5"/>
  <c r="H414" i="5" s="1"/>
  <c r="G275" i="5"/>
  <c r="G421" i="5"/>
  <c r="H421" i="5" s="1"/>
  <c r="G265" i="5"/>
  <c r="H472" i="5"/>
  <c r="G513" i="5"/>
  <c r="H513" i="5" s="1"/>
  <c r="G514" i="5"/>
  <c r="H514" i="5" s="1"/>
  <c r="H521" i="5"/>
  <c r="G515" i="5"/>
  <c r="G512" i="5" s="1"/>
  <c r="G516" i="5"/>
  <c r="H516" i="5" s="1"/>
  <c r="G434" i="5"/>
  <c r="G422" i="5"/>
  <c r="G419" i="5" s="1"/>
  <c r="H458" i="5"/>
  <c r="G264" i="5"/>
  <c r="G277" i="5"/>
  <c r="G488" i="5"/>
  <c r="H488" i="5" s="1"/>
  <c r="G420" i="5"/>
  <c r="H420" i="5" s="1"/>
  <c r="G492" i="5"/>
  <c r="H492" i="5" s="1"/>
  <c r="G493" i="5"/>
  <c r="H493" i="5" s="1"/>
  <c r="G506" i="5"/>
  <c r="H506" i="5" s="1"/>
  <c r="G507" i="5"/>
  <c r="H507" i="5" s="1"/>
  <c r="G429" i="5"/>
  <c r="G426" i="5" s="1"/>
  <c r="G441" i="5"/>
  <c r="H441" i="5" s="1"/>
  <c r="G437" i="5"/>
  <c r="H437" i="5" s="1"/>
  <c r="G436" i="5"/>
  <c r="G433" i="5" s="1"/>
  <c r="G427" i="5"/>
  <c r="H427" i="5" s="1"/>
  <c r="G428" i="5"/>
  <c r="H428" i="5" s="1"/>
  <c r="G442" i="5"/>
  <c r="H442" i="5" s="1"/>
  <c r="G443" i="5"/>
  <c r="G440" i="5" s="1"/>
  <c r="G415" i="5"/>
  <c r="G412" i="5" s="1"/>
  <c r="F356" i="5"/>
  <c r="G451" i="5" s="1"/>
  <c r="G448" i="5" s="1"/>
  <c r="F400" i="5"/>
  <c r="G479" i="5" s="1"/>
  <c r="G476" i="5" s="1"/>
  <c r="H508" i="5"/>
  <c r="H505" i="5" s="1"/>
  <c r="F271" i="5"/>
  <c r="F268" i="5"/>
  <c r="F272" i="5"/>
  <c r="F270" i="5"/>
  <c r="F269" i="5"/>
  <c r="G464" i="5"/>
  <c r="G466" i="5"/>
  <c r="G463" i="5"/>
  <c r="G465" i="5"/>
  <c r="G462" i="5" s="1"/>
  <c r="H486" i="5"/>
  <c r="H500" i="5"/>
  <c r="G487" i="5"/>
  <c r="G484" i="5" s="1"/>
  <c r="G501" i="5"/>
  <c r="G498" i="5" s="1"/>
  <c r="H434" i="5"/>
  <c r="G413" i="5"/>
  <c r="G416" i="5"/>
  <c r="H416" i="5" s="1"/>
  <c r="H275" i="5"/>
  <c r="H523" i="5"/>
  <c r="G485" i="5"/>
  <c r="G499" i="5"/>
  <c r="H274" i="5" l="1"/>
  <c r="H469" i="5"/>
  <c r="H262" i="5"/>
  <c r="H455" i="5"/>
  <c r="H501" i="5"/>
  <c r="H498" i="5" s="1"/>
  <c r="H515" i="5"/>
  <c r="H512" i="5" s="1"/>
  <c r="H422" i="5"/>
  <c r="H419" i="5" s="1"/>
  <c r="H494" i="5"/>
  <c r="H491" i="5" s="1"/>
  <c r="H265" i="5"/>
  <c r="H277" i="5"/>
  <c r="G478" i="5"/>
  <c r="G282" i="5" s="1"/>
  <c r="F280" i="5"/>
  <c r="F282" i="5"/>
  <c r="G477" i="5"/>
  <c r="G281" i="5" s="1"/>
  <c r="H443" i="5"/>
  <c r="H440" i="5" s="1"/>
  <c r="H436" i="5"/>
  <c r="H433" i="5" s="1"/>
  <c r="G452" i="5"/>
  <c r="G260" i="5" s="1"/>
  <c r="F256" i="5"/>
  <c r="H415" i="5"/>
  <c r="H412" i="5" s="1"/>
  <c r="H429" i="5"/>
  <c r="H426" i="5" s="1"/>
  <c r="F258" i="5"/>
  <c r="F260" i="5"/>
  <c r="G480" i="5"/>
  <c r="G284" i="5" s="1"/>
  <c r="F281" i="5"/>
  <c r="F284" i="5"/>
  <c r="F283" i="5"/>
  <c r="G450" i="5"/>
  <c r="H450" i="5" s="1"/>
  <c r="H258" i="5" s="1"/>
  <c r="F259" i="5"/>
  <c r="F257" i="5"/>
  <c r="G449" i="5"/>
  <c r="G257" i="5" s="1"/>
  <c r="G256" i="5"/>
  <c r="H451" i="5"/>
  <c r="H448" i="5" s="1"/>
  <c r="G259" i="5"/>
  <c r="H479" i="5"/>
  <c r="H476" i="5" s="1"/>
  <c r="G283" i="5"/>
  <c r="H487" i="5"/>
  <c r="H484" i="5" s="1"/>
  <c r="H478" i="5"/>
  <c r="H282" i="5" s="1"/>
  <c r="H465" i="5"/>
  <c r="H462" i="5" s="1"/>
  <c r="G271" i="5"/>
  <c r="H466" i="5"/>
  <c r="H272" i="5" s="1"/>
  <c r="G272" i="5"/>
  <c r="H463" i="5"/>
  <c r="G269" i="5"/>
  <c r="G268" i="5"/>
  <c r="G280" i="5"/>
  <c r="H464" i="5"/>
  <c r="H270" i="5" s="1"/>
  <c r="G270" i="5"/>
  <c r="H499" i="5"/>
  <c r="H485" i="5"/>
  <c r="H413" i="5"/>
  <c r="H283" i="5" l="1"/>
  <c r="H449" i="5"/>
  <c r="H257" i="5" s="1"/>
  <c r="H452" i="5"/>
  <c r="H260" i="5" s="1"/>
  <c r="H477" i="5"/>
  <c r="G258" i="5"/>
  <c r="H480" i="5"/>
  <c r="H284" i="5" s="1"/>
  <c r="H259" i="5"/>
  <c r="H271" i="5"/>
  <c r="H268" i="5"/>
  <c r="H281" i="5"/>
  <c r="H280" i="5"/>
  <c r="H256" i="5"/>
  <c r="H269" i="5"/>
  <c r="A9" i="15" l="1"/>
  <c r="A10" i="15"/>
  <c r="A12" i="15"/>
  <c r="A13" i="15"/>
  <c r="A14" i="15"/>
  <c r="A15" i="15"/>
  <c r="A16" i="15"/>
  <c r="A17" i="15"/>
  <c r="H4" i="16" l="1"/>
  <c r="G4" i="16"/>
  <c r="F4" i="16"/>
  <c r="E4" i="16"/>
  <c r="D4" i="16"/>
  <c r="H4" i="17"/>
  <c r="G4" i="17"/>
  <c r="F4" i="17"/>
  <c r="E4" i="17"/>
  <c r="D4" i="17"/>
  <c r="H4" i="18"/>
  <c r="G4" i="18"/>
  <c r="F4" i="18"/>
  <c r="E4" i="18"/>
  <c r="D4" i="18"/>
  <c r="H4" i="15"/>
  <c r="G4" i="15"/>
  <c r="F4" i="15"/>
  <c r="E4" i="15"/>
  <c r="D4" i="15"/>
  <c r="H4" i="1"/>
  <c r="G4" i="1"/>
  <c r="F4" i="1"/>
  <c r="E4" i="1"/>
  <c r="D4" i="1"/>
  <c r="D606" i="5" l="1"/>
  <c r="D616" i="5" s="1"/>
  <c r="D626" i="5" s="1"/>
  <c r="D636" i="5" s="1"/>
  <c r="D646" i="5" s="1"/>
  <c r="A47" i="4"/>
  <c r="D103" i="5" l="1"/>
  <c r="D97" i="5"/>
  <c r="D58" i="5" s="1"/>
  <c r="D91" i="5"/>
  <c r="D52" i="5" s="1"/>
  <c r="D85" i="5"/>
  <c r="D79" i="5"/>
  <c r="D75" i="5"/>
  <c r="A30" i="6" l="1"/>
  <c r="D4" i="5"/>
  <c r="A16" i="2" l="1"/>
  <c r="A15" i="2"/>
  <c r="A14" i="2"/>
  <c r="A26" i="2" s="1"/>
  <c r="A38" i="2" s="1"/>
  <c r="A50" i="2" s="1"/>
  <c r="A62" i="2" s="1"/>
  <c r="A13" i="2"/>
  <c r="A12" i="2"/>
  <c r="A23" i="2"/>
  <c r="A35" i="2" s="1"/>
  <c r="A47" i="2" s="1"/>
  <c r="A59" i="2" s="1"/>
  <c r="A10" i="2"/>
  <c r="A9" i="2"/>
  <c r="A30" i="2"/>
  <c r="A42" i="2" s="1"/>
  <c r="A54" i="2" s="1"/>
  <c r="A66" i="2" s="1"/>
  <c r="A28" i="2"/>
  <c r="A40" i="2" s="1"/>
  <c r="A52" i="2" s="1"/>
  <c r="A64" i="2" s="1"/>
  <c r="A27" i="2"/>
  <c r="A39" i="2" s="1"/>
  <c r="A51" i="2" s="1"/>
  <c r="A63" i="2" s="1"/>
  <c r="A25" i="2"/>
  <c r="A37" i="2" s="1"/>
  <c r="A49" i="2" s="1"/>
  <c r="A61" i="2" s="1"/>
  <c r="A24" i="2"/>
  <c r="A36" i="2" s="1"/>
  <c r="A48" i="2" s="1"/>
  <c r="A60" i="2" s="1"/>
  <c r="A22" i="2"/>
  <c r="A34" i="2" s="1"/>
  <c r="A46" i="2" s="1"/>
  <c r="A58" i="2" s="1"/>
  <c r="A21" i="2"/>
  <c r="A33" i="2" s="1"/>
  <c r="A45" i="2" s="1"/>
  <c r="A57" i="2" s="1"/>
  <c r="B2" i="5" l="1"/>
  <c r="A780" i="5" s="1"/>
  <c r="B2" i="2" l="1"/>
  <c r="B2" i="1"/>
  <c r="A512" i="5" l="1"/>
  <c r="A527" i="5" s="1"/>
  <c r="A534" i="5" s="1"/>
  <c r="A541" i="5" s="1"/>
  <c r="A548" i="5" s="1"/>
  <c r="A498" i="5"/>
  <c r="A484" i="5"/>
  <c r="A469" i="5"/>
  <c r="A455" i="5"/>
  <c r="A440" i="5"/>
  <c r="A426" i="5"/>
  <c r="A412" i="5"/>
  <c r="A505" i="5"/>
  <c r="A491" i="5"/>
  <c r="A476" i="5"/>
  <c r="A462" i="5"/>
  <c r="A448" i="5"/>
  <c r="A433" i="5"/>
  <c r="A419" i="5"/>
  <c r="A8" i="2"/>
  <c r="B2" i="4"/>
  <c r="H4" i="5"/>
  <c r="G4" i="5"/>
  <c r="F4" i="5"/>
  <c r="E4" i="5"/>
  <c r="A563" i="5" l="1"/>
  <c r="A570" i="5" s="1"/>
  <c r="A577" i="5" s="1"/>
  <c r="A584" i="5" s="1"/>
  <c r="A591" i="5" s="1"/>
  <c r="A555" i="5"/>
  <c r="A164" i="15"/>
  <c r="A163" i="15"/>
  <c r="A162" i="15"/>
  <c r="A161" i="15"/>
  <c r="A160" i="15"/>
  <c r="A144" i="15"/>
  <c r="A129" i="15"/>
  <c r="A114" i="15"/>
  <c r="A99" i="15"/>
  <c r="A84" i="15"/>
  <c r="A67" i="15"/>
  <c r="A52" i="15"/>
  <c r="A37" i="15"/>
  <c r="A32" i="15"/>
  <c r="A47" i="15" s="1"/>
  <c r="A62" i="15" s="1"/>
  <c r="A77" i="15" s="1"/>
  <c r="A94" i="15" s="1"/>
  <c r="A109" i="15" s="1"/>
  <c r="A124" i="15" s="1"/>
  <c r="A139" i="15" s="1"/>
  <c r="A154" i="15" s="1"/>
  <c r="A31" i="15"/>
  <c r="A46" i="15" s="1"/>
  <c r="A61" i="15" s="1"/>
  <c r="A76" i="15" s="1"/>
  <c r="A93" i="15" s="1"/>
  <c r="A108" i="15" s="1"/>
  <c r="A123" i="15" s="1"/>
  <c r="A138" i="15" s="1"/>
  <c r="A153" i="15" s="1"/>
  <c r="A30" i="15"/>
  <c r="A45" i="15" s="1"/>
  <c r="A60" i="15" s="1"/>
  <c r="A75" i="15" s="1"/>
  <c r="A92" i="15" s="1"/>
  <c r="A107" i="15" s="1"/>
  <c r="A122" i="15" s="1"/>
  <c r="A137" i="15" s="1"/>
  <c r="A152" i="15" s="1"/>
  <c r="A29" i="15"/>
  <c r="A44" i="15" s="1"/>
  <c r="A59" i="15" s="1"/>
  <c r="A74" i="15" s="1"/>
  <c r="A91" i="15" s="1"/>
  <c r="A106" i="15" s="1"/>
  <c r="A121" i="15" s="1"/>
  <c r="A136" i="15" s="1"/>
  <c r="A151" i="15" s="1"/>
  <c r="A28" i="15"/>
  <c r="A43" i="15" s="1"/>
  <c r="A58" i="15" s="1"/>
  <c r="A73" i="15" s="1"/>
  <c r="A90" i="15" s="1"/>
  <c r="A105" i="15" s="1"/>
  <c r="A120" i="15" s="1"/>
  <c r="A135" i="15" s="1"/>
  <c r="A150" i="15" s="1"/>
  <c r="A27" i="15"/>
  <c r="A42" i="15" s="1"/>
  <c r="A57" i="15" s="1"/>
  <c r="A72" i="15" s="1"/>
  <c r="A89" i="15" s="1"/>
  <c r="A104" i="15" s="1"/>
  <c r="A119" i="15" s="1"/>
  <c r="A134" i="15" s="1"/>
  <c r="A149" i="15" s="1"/>
  <c r="A25" i="15"/>
  <c r="A40" i="15" s="1"/>
  <c r="A55" i="15" s="1"/>
  <c r="A70" i="15" s="1"/>
  <c r="A87" i="15" s="1"/>
  <c r="A102" i="15" s="1"/>
  <c r="A117" i="15" s="1"/>
  <c r="A132" i="15" s="1"/>
  <c r="A147" i="15" s="1"/>
  <c r="A24" i="15"/>
  <c r="A39" i="15" s="1"/>
  <c r="A54" i="15" s="1"/>
  <c r="A69" i="15" s="1"/>
  <c r="A86" i="15" s="1"/>
  <c r="A101" i="15" s="1"/>
  <c r="A116" i="15" s="1"/>
  <c r="A131" i="15" s="1"/>
  <c r="A146" i="15" s="1"/>
  <c r="A22" i="15"/>
  <c r="A7" i="15"/>
  <c r="B2" i="15"/>
  <c r="A164" i="1"/>
  <c r="A163" i="1"/>
  <c r="A162" i="1"/>
  <c r="A161" i="1"/>
  <c r="A160" i="1"/>
  <c r="A144" i="1"/>
  <c r="A129" i="1"/>
  <c r="A114" i="1"/>
  <c r="A84" i="1"/>
  <c r="A67" i="1"/>
  <c r="A52" i="1"/>
  <c r="D59" i="1" s="1"/>
  <c r="A37" i="1"/>
  <c r="A32" i="1"/>
  <c r="A47" i="1" s="1"/>
  <c r="A62" i="1" s="1"/>
  <c r="A77" i="1" s="1"/>
  <c r="A94" i="1" s="1"/>
  <c r="A109" i="1" s="1"/>
  <c r="A124" i="1" s="1"/>
  <c r="A139" i="1" s="1"/>
  <c r="A154" i="1" s="1"/>
  <c r="A31" i="1"/>
  <c r="A46" i="1" s="1"/>
  <c r="A61" i="1" s="1"/>
  <c r="A76" i="1" s="1"/>
  <c r="A93" i="1" s="1"/>
  <c r="A108" i="1" s="1"/>
  <c r="A123" i="1" s="1"/>
  <c r="A138" i="1" s="1"/>
  <c r="A153" i="1" s="1"/>
  <c r="A30" i="1"/>
  <c r="A45" i="1" s="1"/>
  <c r="A60" i="1" s="1"/>
  <c r="A75" i="1" s="1"/>
  <c r="A92" i="1" s="1"/>
  <c r="A107" i="1" s="1"/>
  <c r="A122" i="1" s="1"/>
  <c r="A137" i="1" s="1"/>
  <c r="A152" i="1" s="1"/>
  <c r="A29" i="1"/>
  <c r="A44" i="1" s="1"/>
  <c r="A59" i="1" s="1"/>
  <c r="A74" i="1" s="1"/>
  <c r="A91" i="1" s="1"/>
  <c r="A106" i="1" s="1"/>
  <c r="A121" i="1" s="1"/>
  <c r="A136" i="1" s="1"/>
  <c r="A151" i="1" s="1"/>
  <c r="A28" i="1"/>
  <c r="A43" i="1" s="1"/>
  <c r="A58" i="1" s="1"/>
  <c r="A73" i="1" s="1"/>
  <c r="A90" i="1" s="1"/>
  <c r="A105" i="1" s="1"/>
  <c r="A120" i="1" s="1"/>
  <c r="A135" i="1" s="1"/>
  <c r="A150" i="1" s="1"/>
  <c r="A27" i="1"/>
  <c r="A42" i="1" s="1"/>
  <c r="A57" i="1" s="1"/>
  <c r="A72" i="1" s="1"/>
  <c r="A89" i="1" s="1"/>
  <c r="A104" i="1" s="1"/>
  <c r="A119" i="1" s="1"/>
  <c r="A134" i="1" s="1"/>
  <c r="A149" i="1" s="1"/>
  <c r="A148" i="1"/>
  <c r="A25" i="1"/>
  <c r="A40" i="1" s="1"/>
  <c r="A55" i="1" s="1"/>
  <c r="A70" i="1" s="1"/>
  <c r="A87" i="1" s="1"/>
  <c r="A102" i="1" s="1"/>
  <c r="A117" i="1" s="1"/>
  <c r="A132" i="1" s="1"/>
  <c r="A147" i="1" s="1"/>
  <c r="A24" i="1"/>
  <c r="A39" i="1" s="1"/>
  <c r="A54" i="1" s="1"/>
  <c r="A69" i="1" s="1"/>
  <c r="A86" i="1" s="1"/>
  <c r="A101" i="1" s="1"/>
  <c r="A116" i="1" s="1"/>
  <c r="A131" i="1" s="1"/>
  <c r="A146" i="1" s="1"/>
  <c r="A145" i="1"/>
  <c r="A22" i="1"/>
  <c r="A19" i="1"/>
  <c r="A19" i="15" s="1"/>
  <c r="A34" i="15" s="1"/>
  <c r="A49" i="15" s="1"/>
  <c r="A64" i="15" s="1"/>
  <c r="A79" i="15" s="1"/>
  <c r="A96" i="15" s="1"/>
  <c r="A111" i="15" s="1"/>
  <c r="A126" i="15" s="1"/>
  <c r="A141" i="15" s="1"/>
  <c r="A156" i="15" s="1"/>
  <c r="A18" i="1"/>
  <c r="A18" i="15" s="1"/>
  <c r="A33" i="15" s="1"/>
  <c r="A48" i="15" s="1"/>
  <c r="A63" i="15" s="1"/>
  <c r="A78" i="15" s="1"/>
  <c r="A95" i="15" s="1"/>
  <c r="A110" i="15" s="1"/>
  <c r="A125" i="15" s="1"/>
  <c r="A140" i="15" s="1"/>
  <c r="A155" i="15" s="1"/>
  <c r="A7" i="1"/>
  <c r="A614" i="5"/>
  <c r="A624" i="5" s="1"/>
  <c r="A634" i="5" s="1"/>
  <c r="A644" i="5" s="1"/>
  <c r="A598" i="5"/>
  <c r="A592" i="5" l="1"/>
  <c r="A578" i="5"/>
  <c r="A585" i="5"/>
  <c r="A564" i="5"/>
  <c r="A571" i="5"/>
  <c r="A549" i="5"/>
  <c r="A556" i="5"/>
  <c r="A535" i="5"/>
  <c r="A542" i="5"/>
  <c r="A513" i="5"/>
  <c r="A528" i="5"/>
  <c r="A499" i="5"/>
  <c r="A506" i="5"/>
  <c r="A485" i="5"/>
  <c r="A492" i="5"/>
  <c r="A470" i="5"/>
  <c r="A477" i="5"/>
  <c r="A456" i="5"/>
  <c r="A463" i="5"/>
  <c r="A441" i="5"/>
  <c r="A449" i="5"/>
  <c r="A427" i="5"/>
  <c r="A434" i="5"/>
  <c r="A335" i="21"/>
  <c r="A420" i="5"/>
  <c r="A323" i="21"/>
  <c r="A329" i="21"/>
  <c r="A311" i="21"/>
  <c r="A317" i="21"/>
  <c r="A298" i="21"/>
  <c r="A304" i="21"/>
  <c r="A286" i="21"/>
  <c r="A292" i="21"/>
  <c r="A266" i="21"/>
  <c r="A280" i="21"/>
  <c r="A254" i="21"/>
  <c r="A260" i="21"/>
  <c r="A242" i="21"/>
  <c r="A248" i="21"/>
  <c r="A229" i="21"/>
  <c r="A235" i="21"/>
  <c r="A217" i="21"/>
  <c r="A223" i="21"/>
  <c r="A204" i="21"/>
  <c r="A211" i="21"/>
  <c r="A198" i="21"/>
  <c r="A413" i="5"/>
  <c r="A192" i="21"/>
  <c r="A180" i="21"/>
  <c r="A186" i="21"/>
  <c r="A20" i="2"/>
  <c r="A34" i="1"/>
  <c r="A49" i="1" s="1"/>
  <c r="A64" i="1" s="1"/>
  <c r="A79" i="1" s="1"/>
  <c r="A96" i="1" s="1"/>
  <c r="A111" i="1" s="1"/>
  <c r="A126" i="1" s="1"/>
  <c r="A141" i="1" s="1"/>
  <c r="A156" i="1" s="1"/>
  <c r="A33" i="1"/>
  <c r="A48" i="1" s="1"/>
  <c r="A63" i="1" s="1"/>
  <c r="A78" i="1" s="1"/>
  <c r="A95" i="1" s="1"/>
  <c r="A110" i="1" s="1"/>
  <c r="A125" i="1" s="1"/>
  <c r="A140" i="1" s="1"/>
  <c r="A155" i="1" s="1"/>
  <c r="A17" i="2"/>
  <c r="A29" i="2" l="1"/>
  <c r="A41" i="2" s="1"/>
  <c r="A53" i="2" s="1"/>
  <c r="A65" i="2" s="1"/>
  <c r="A279" i="5"/>
  <c r="A273" i="5"/>
  <c r="A267" i="5"/>
  <c r="A261" i="5"/>
  <c r="A255" i="5"/>
  <c r="A84" i="2" l="1"/>
  <c r="A85" i="2"/>
  <c r="A86" i="2"/>
  <c r="A91" i="2"/>
  <c r="A98" i="2" s="1"/>
  <c r="A105" i="2" s="1"/>
  <c r="A92" i="2"/>
  <c r="A99" i="2" s="1"/>
  <c r="A106" i="2" s="1"/>
  <c r="A93" i="2"/>
  <c r="A100" i="2" s="1"/>
  <c r="A107" i="2" s="1"/>
  <c r="A144" i="18" l="1"/>
  <c r="A129" i="18"/>
  <c r="A114" i="18"/>
  <c r="A99" i="18"/>
  <c r="A84" i="18"/>
  <c r="A67" i="18"/>
  <c r="A52" i="18"/>
  <c r="A37" i="18"/>
  <c r="A22" i="18"/>
  <c r="A19" i="18"/>
  <c r="A34" i="18" s="1"/>
  <c r="A49" i="18" s="1"/>
  <c r="A64" i="18" s="1"/>
  <c r="A79" i="18" s="1"/>
  <c r="A96" i="18" s="1"/>
  <c r="A111" i="18" s="1"/>
  <c r="A126" i="18" s="1"/>
  <c r="A141" i="18" s="1"/>
  <c r="A156" i="18" s="1"/>
  <c r="A17" i="18"/>
  <c r="A32" i="18" s="1"/>
  <c r="A47" i="18" s="1"/>
  <c r="A62" i="18" s="1"/>
  <c r="A77" i="18" s="1"/>
  <c r="A94" i="18" s="1"/>
  <c r="A109" i="18" s="1"/>
  <c r="A124" i="18" s="1"/>
  <c r="A139" i="18" s="1"/>
  <c r="A154" i="18" s="1"/>
  <c r="A16" i="18"/>
  <c r="A31" i="18" s="1"/>
  <c r="A46" i="18" s="1"/>
  <c r="A61" i="18" s="1"/>
  <c r="A76" i="18" s="1"/>
  <c r="A93" i="18" s="1"/>
  <c r="A108" i="18" s="1"/>
  <c r="A123" i="18" s="1"/>
  <c r="A138" i="18" s="1"/>
  <c r="A153" i="18" s="1"/>
  <c r="A15" i="18"/>
  <c r="A30" i="18" s="1"/>
  <c r="A45" i="18" s="1"/>
  <c r="A60" i="18" s="1"/>
  <c r="A75" i="18" s="1"/>
  <c r="A92" i="18" s="1"/>
  <c r="A107" i="18" s="1"/>
  <c r="A122" i="18" s="1"/>
  <c r="A137" i="18" s="1"/>
  <c r="A152" i="18" s="1"/>
  <c r="A14" i="18"/>
  <c r="A29" i="18" s="1"/>
  <c r="A44" i="18" s="1"/>
  <c r="A59" i="18" s="1"/>
  <c r="A74" i="18" s="1"/>
  <c r="A91" i="18" s="1"/>
  <c r="A106" i="18" s="1"/>
  <c r="A121" i="18" s="1"/>
  <c r="A136" i="18" s="1"/>
  <c r="A151" i="18" s="1"/>
  <c r="A13" i="18"/>
  <c r="A28" i="18" s="1"/>
  <c r="A43" i="18" s="1"/>
  <c r="A58" i="18" s="1"/>
  <c r="A73" i="18" s="1"/>
  <c r="A90" i="18" s="1"/>
  <c r="A105" i="18" s="1"/>
  <c r="A120" i="18" s="1"/>
  <c r="A135" i="18" s="1"/>
  <c r="A150" i="18" s="1"/>
  <c r="A12" i="18"/>
  <c r="A27" i="18" s="1"/>
  <c r="A42" i="18" s="1"/>
  <c r="A57" i="18" s="1"/>
  <c r="A72" i="18" s="1"/>
  <c r="A89" i="18" s="1"/>
  <c r="A104" i="18" s="1"/>
  <c r="A119" i="18" s="1"/>
  <c r="A134" i="18" s="1"/>
  <c r="A149" i="18" s="1"/>
  <c r="A10" i="18"/>
  <c r="A25" i="18" s="1"/>
  <c r="A40" i="18" s="1"/>
  <c r="A55" i="18" s="1"/>
  <c r="A70" i="18" s="1"/>
  <c r="A87" i="18" s="1"/>
  <c r="A102" i="18" s="1"/>
  <c r="A117" i="18" s="1"/>
  <c r="A132" i="18" s="1"/>
  <c r="A147" i="18" s="1"/>
  <c r="A9" i="18"/>
  <c r="A24" i="18" s="1"/>
  <c r="A39" i="18" s="1"/>
  <c r="A54" i="18" s="1"/>
  <c r="A69" i="18" s="1"/>
  <c r="A86" i="18" s="1"/>
  <c r="A101" i="18" s="1"/>
  <c r="A116" i="18" s="1"/>
  <c r="A131" i="18" s="1"/>
  <c r="A146" i="18" s="1"/>
  <c r="A7" i="18"/>
  <c r="A144" i="17"/>
  <c r="A129" i="17"/>
  <c r="A114" i="17"/>
  <c r="A99" i="17"/>
  <c r="A84" i="17"/>
  <c r="A67" i="17"/>
  <c r="A52" i="17"/>
  <c r="A37" i="17"/>
  <c r="A22" i="17"/>
  <c r="A19" i="17"/>
  <c r="A34" i="17" s="1"/>
  <c r="A49" i="17" s="1"/>
  <c r="A64" i="17" s="1"/>
  <c r="A79" i="17" s="1"/>
  <c r="A96" i="17" s="1"/>
  <c r="A111" i="17" s="1"/>
  <c r="A126" i="17" s="1"/>
  <c r="A141" i="17" s="1"/>
  <c r="A156" i="17" s="1"/>
  <c r="A17" i="17"/>
  <c r="A32" i="17" s="1"/>
  <c r="A47" i="17" s="1"/>
  <c r="A62" i="17" s="1"/>
  <c r="A77" i="17" s="1"/>
  <c r="A94" i="17" s="1"/>
  <c r="A109" i="17" s="1"/>
  <c r="A124" i="17" s="1"/>
  <c r="A139" i="17" s="1"/>
  <c r="A154" i="17" s="1"/>
  <c r="A16" i="17"/>
  <c r="A31" i="17" s="1"/>
  <c r="A46" i="17" s="1"/>
  <c r="A61" i="17" s="1"/>
  <c r="A76" i="17" s="1"/>
  <c r="A93" i="17" s="1"/>
  <c r="A108" i="17" s="1"/>
  <c r="A123" i="17" s="1"/>
  <c r="A138" i="17" s="1"/>
  <c r="A153" i="17" s="1"/>
  <c r="A15" i="17"/>
  <c r="A30" i="17" s="1"/>
  <c r="A45" i="17" s="1"/>
  <c r="A60" i="17" s="1"/>
  <c r="A75" i="17" s="1"/>
  <c r="A92" i="17" s="1"/>
  <c r="A107" i="17" s="1"/>
  <c r="A122" i="17" s="1"/>
  <c r="A137" i="17" s="1"/>
  <c r="A152" i="17" s="1"/>
  <c r="A14" i="17"/>
  <c r="A29" i="17" s="1"/>
  <c r="A44" i="17" s="1"/>
  <c r="A59" i="17" s="1"/>
  <c r="A74" i="17" s="1"/>
  <c r="A91" i="17" s="1"/>
  <c r="A106" i="17" s="1"/>
  <c r="A121" i="17" s="1"/>
  <c r="A136" i="17" s="1"/>
  <c r="A151" i="17" s="1"/>
  <c r="A13" i="17"/>
  <c r="A28" i="17" s="1"/>
  <c r="A43" i="17" s="1"/>
  <c r="A58" i="17" s="1"/>
  <c r="A73" i="17" s="1"/>
  <c r="A90" i="17" s="1"/>
  <c r="A105" i="17" s="1"/>
  <c r="A120" i="17" s="1"/>
  <c r="A135" i="17" s="1"/>
  <c r="A150" i="17" s="1"/>
  <c r="A12" i="17"/>
  <c r="A27" i="17" s="1"/>
  <c r="A42" i="17" s="1"/>
  <c r="A57" i="17" s="1"/>
  <c r="A72" i="17" s="1"/>
  <c r="A89" i="17" s="1"/>
  <c r="A104" i="17" s="1"/>
  <c r="A119" i="17" s="1"/>
  <c r="A134" i="17" s="1"/>
  <c r="A149" i="17" s="1"/>
  <c r="A10" i="17"/>
  <c r="A25" i="17" s="1"/>
  <c r="A40" i="17" s="1"/>
  <c r="A55" i="17" s="1"/>
  <c r="A70" i="17" s="1"/>
  <c r="A87" i="17" s="1"/>
  <c r="A102" i="17" s="1"/>
  <c r="A117" i="17" s="1"/>
  <c r="A132" i="17" s="1"/>
  <c r="A147" i="17" s="1"/>
  <c r="A9" i="17"/>
  <c r="A24" i="17" s="1"/>
  <c r="A39" i="17" s="1"/>
  <c r="A54" i="17" s="1"/>
  <c r="A69" i="17" s="1"/>
  <c r="A86" i="17" s="1"/>
  <c r="A101" i="17" s="1"/>
  <c r="A116" i="17" s="1"/>
  <c r="A131" i="17" s="1"/>
  <c r="A146" i="17" s="1"/>
  <c r="A7" i="17"/>
  <c r="A144" i="16"/>
  <c r="A129" i="16"/>
  <c r="A114" i="16"/>
  <c r="A99" i="16"/>
  <c r="A84" i="16"/>
  <c r="A67" i="16"/>
  <c r="A52" i="16"/>
  <c r="A37" i="16"/>
  <c r="A22" i="16"/>
  <c r="A19" i="16"/>
  <c r="A34" i="16" s="1"/>
  <c r="A49" i="16" s="1"/>
  <c r="A64" i="16" s="1"/>
  <c r="A79" i="16" s="1"/>
  <c r="A96" i="16" s="1"/>
  <c r="A111" i="16" s="1"/>
  <c r="A126" i="16" s="1"/>
  <c r="A141" i="16" s="1"/>
  <c r="A156" i="16" s="1"/>
  <c r="A17" i="16"/>
  <c r="A32" i="16" s="1"/>
  <c r="A47" i="16" s="1"/>
  <c r="A62" i="16" s="1"/>
  <c r="A77" i="16" s="1"/>
  <c r="A94" i="16" s="1"/>
  <c r="A109" i="16" s="1"/>
  <c r="A124" i="16" s="1"/>
  <c r="A139" i="16" s="1"/>
  <c r="A154" i="16" s="1"/>
  <c r="A16" i="16"/>
  <c r="A31" i="16" s="1"/>
  <c r="A46" i="16" s="1"/>
  <c r="A61" i="16" s="1"/>
  <c r="A76" i="16" s="1"/>
  <c r="A93" i="16" s="1"/>
  <c r="A108" i="16" s="1"/>
  <c r="A123" i="16" s="1"/>
  <c r="A138" i="16" s="1"/>
  <c r="A153" i="16" s="1"/>
  <c r="A15" i="16"/>
  <c r="A30" i="16" s="1"/>
  <c r="A45" i="16" s="1"/>
  <c r="A60" i="16" s="1"/>
  <c r="A75" i="16" s="1"/>
  <c r="A92" i="16" s="1"/>
  <c r="A107" i="16" s="1"/>
  <c r="A122" i="16" s="1"/>
  <c r="A137" i="16" s="1"/>
  <c r="A152" i="16" s="1"/>
  <c r="A14" i="16"/>
  <c r="A29" i="16" s="1"/>
  <c r="A44" i="16" s="1"/>
  <c r="A59" i="16" s="1"/>
  <c r="A74" i="16" s="1"/>
  <c r="A91" i="16" s="1"/>
  <c r="A106" i="16" s="1"/>
  <c r="A121" i="16" s="1"/>
  <c r="A136" i="16" s="1"/>
  <c r="A151" i="16" s="1"/>
  <c r="A13" i="16"/>
  <c r="A28" i="16" s="1"/>
  <c r="A43" i="16" s="1"/>
  <c r="A58" i="16" s="1"/>
  <c r="A73" i="16" s="1"/>
  <c r="A90" i="16" s="1"/>
  <c r="A105" i="16" s="1"/>
  <c r="A120" i="16" s="1"/>
  <c r="A135" i="16" s="1"/>
  <c r="A150" i="16" s="1"/>
  <c r="A12" i="16"/>
  <c r="A27" i="16" s="1"/>
  <c r="A42" i="16" s="1"/>
  <c r="A57" i="16" s="1"/>
  <c r="A72" i="16" s="1"/>
  <c r="A89" i="16" s="1"/>
  <c r="A104" i="16" s="1"/>
  <c r="A119" i="16" s="1"/>
  <c r="A134" i="16" s="1"/>
  <c r="A149" i="16" s="1"/>
  <c r="A10" i="16"/>
  <c r="A25" i="16" s="1"/>
  <c r="A40" i="16" s="1"/>
  <c r="A55" i="16" s="1"/>
  <c r="A70" i="16" s="1"/>
  <c r="A87" i="16" s="1"/>
  <c r="A102" i="16" s="1"/>
  <c r="A117" i="16" s="1"/>
  <c r="A132" i="16" s="1"/>
  <c r="A147" i="16" s="1"/>
  <c r="A9" i="16"/>
  <c r="A24" i="16" s="1"/>
  <c r="A39" i="16" s="1"/>
  <c r="A54" i="16" s="1"/>
  <c r="A69" i="16" s="1"/>
  <c r="A86" i="16" s="1"/>
  <c r="A101" i="16" s="1"/>
  <c r="A116" i="16" s="1"/>
  <c r="A131" i="16" s="1"/>
  <c r="A146" i="16" s="1"/>
  <c r="A7" i="16"/>
  <c r="B1" i="4" l="1"/>
  <c r="D107" i="5"/>
  <c r="D68" i="5" s="1"/>
  <c r="D101" i="5"/>
  <c r="D62" i="5" s="1"/>
  <c r="D95" i="5"/>
  <c r="D56" i="5" s="1"/>
  <c r="D89" i="5"/>
  <c r="D83" i="5"/>
  <c r="A724" i="5"/>
  <c r="A730" i="5" s="1"/>
  <c r="A736" i="5" s="1"/>
  <c r="A742" i="5" s="1"/>
  <c r="D74" i="5"/>
  <c r="D73" i="5"/>
  <c r="D72" i="5"/>
  <c r="D71" i="5"/>
  <c r="A661" i="5"/>
  <c r="A670" i="5" s="1"/>
  <c r="A679" i="5" s="1"/>
  <c r="A688" i="5" s="1"/>
  <c r="A662" i="5"/>
  <c r="A671" i="5" s="1"/>
  <c r="A680" i="5" s="1"/>
  <c r="A689" i="5" s="1"/>
  <c r="A663" i="5"/>
  <c r="A672" i="5" s="1"/>
  <c r="A681" i="5" s="1"/>
  <c r="A690" i="5" s="1"/>
  <c r="A664" i="5"/>
  <c r="A673" i="5" s="1"/>
  <c r="A682" i="5" s="1"/>
  <c r="A691" i="5" s="1"/>
  <c r="A660" i="5"/>
  <c r="A669" i="5" s="1"/>
  <c r="A678" i="5" s="1"/>
  <c r="A687" i="5" s="1"/>
  <c r="D778" i="5"/>
  <c r="D771" i="5"/>
  <c r="D764" i="5"/>
  <c r="D757" i="5"/>
  <c r="D750" i="5"/>
  <c r="B1" i="21" l="1"/>
  <c r="B1" i="5"/>
  <c r="B1" i="15"/>
  <c r="B1" i="1"/>
  <c r="B1" i="2"/>
  <c r="D127" i="5"/>
  <c r="D129" i="5"/>
  <c r="D128" i="5"/>
  <c r="D126" i="5"/>
  <c r="D64" i="5"/>
  <c r="D40" i="5"/>
  <c r="A75" i="5"/>
  <c r="A74" i="5"/>
  <c r="A73" i="5"/>
  <c r="A72" i="5"/>
  <c r="A71" i="5"/>
  <c r="D46" i="5" l="1"/>
  <c r="A701" i="5"/>
  <c r="A704" i="5" s="1"/>
  <c r="A707" i="5" s="1"/>
  <c r="A710" i="5" s="1"/>
  <c r="A700" i="5"/>
  <c r="A703" i="5" s="1"/>
  <c r="A706" i="5" s="1"/>
  <c r="A709" i="5" s="1"/>
  <c r="A708" i="5"/>
  <c r="A705" i="5"/>
  <c r="A702" i="5"/>
  <c r="A699" i="5"/>
  <c r="A696" i="5"/>
  <c r="A85" i="5"/>
  <c r="A91" i="5" s="1"/>
  <c r="A97" i="5" s="1"/>
  <c r="A103" i="5" s="1"/>
  <c r="A721" i="5"/>
  <c r="A727" i="5" s="1"/>
  <c r="A733" i="5" s="1"/>
  <c r="A739" i="5" s="1"/>
  <c r="A722" i="5"/>
  <c r="A728" i="5" s="1"/>
  <c r="A734" i="5" s="1"/>
  <c r="A740" i="5" s="1"/>
  <c r="A723" i="5"/>
  <c r="A729" i="5" s="1"/>
  <c r="A735" i="5" s="1"/>
  <c r="A741" i="5" s="1"/>
  <c r="A720" i="5"/>
  <c r="A726" i="5" s="1"/>
  <c r="A732" i="5" s="1"/>
  <c r="A738" i="5" s="1"/>
  <c r="D26" i="5" l="1"/>
  <c r="A89" i="5"/>
  <c r="A95" i="5" s="1"/>
  <c r="A101" i="5" s="1"/>
  <c r="A107" i="5" s="1"/>
  <c r="D50" i="5"/>
  <c r="A87" i="5"/>
  <c r="A93" i="5" s="1"/>
  <c r="A99" i="5" s="1"/>
  <c r="A105" i="5" s="1"/>
  <c r="A88" i="5"/>
  <c r="A94" i="5" s="1"/>
  <c r="A100" i="5" s="1"/>
  <c r="A106" i="5" s="1"/>
  <c r="A86" i="5"/>
  <c r="A92" i="5" s="1"/>
  <c r="A98" i="5" s="1"/>
  <c r="A104" i="5" s="1"/>
  <c r="D44" i="5"/>
  <c r="A754" i="5"/>
  <c r="A761" i="5" s="1"/>
  <c r="A768" i="5" s="1"/>
  <c r="A775" i="5" s="1"/>
  <c r="A755" i="5"/>
  <c r="A762" i="5" s="1"/>
  <c r="A769" i="5" s="1"/>
  <c r="A776" i="5" s="1"/>
  <c r="A756" i="5"/>
  <c r="A763" i="5" s="1"/>
  <c r="A770" i="5" s="1"/>
  <c r="A777" i="5" s="1"/>
  <c r="A757" i="5"/>
  <c r="A764" i="5" s="1"/>
  <c r="A771" i="5" s="1"/>
  <c r="A778" i="5" s="1"/>
  <c r="A753" i="5"/>
  <c r="A760" i="5" s="1"/>
  <c r="A767" i="5" s="1"/>
  <c r="A774" i="5" s="1"/>
  <c r="A117" i="5"/>
  <c r="A122" i="5" s="1"/>
  <c r="A127" i="5" s="1"/>
  <c r="A132" i="5" s="1"/>
  <c r="A118" i="5"/>
  <c r="A123" i="5" s="1"/>
  <c r="A128" i="5" s="1"/>
  <c r="A133" i="5" s="1"/>
  <c r="A119" i="5"/>
  <c r="A124" i="5" s="1"/>
  <c r="A129" i="5" s="1"/>
  <c r="A134" i="5" s="1"/>
  <c r="A116" i="5"/>
  <c r="A121" i="5" s="1"/>
  <c r="A126" i="5" s="1"/>
  <c r="A131" i="5" s="1"/>
  <c r="D36" i="5"/>
  <c r="E36" i="5"/>
  <c r="D30" i="5"/>
  <c r="D24" i="5"/>
  <c r="E24" i="5"/>
  <c r="D18" i="5"/>
  <c r="A47" i="5"/>
  <c r="A53" i="5" s="1"/>
  <c r="A59" i="5" s="1"/>
  <c r="A65" i="5" s="1"/>
  <c r="A48" i="5"/>
  <c r="A54" i="5" s="1"/>
  <c r="A60" i="5" s="1"/>
  <c r="A66" i="5" s="1"/>
  <c r="A49" i="5"/>
  <c r="A55" i="5" s="1"/>
  <c r="A61" i="5" s="1"/>
  <c r="A67" i="5" s="1"/>
  <c r="A50" i="5"/>
  <c r="A56" i="5" s="1"/>
  <c r="A62" i="5" s="1"/>
  <c r="A68" i="5" s="1"/>
  <c r="A46" i="5"/>
  <c r="A52" i="5" s="1"/>
  <c r="A58" i="5" s="1"/>
  <c r="A64" i="5" s="1"/>
  <c r="A15" i="5"/>
  <c r="A21" i="5" s="1"/>
  <c r="A27" i="5" s="1"/>
  <c r="A33" i="5" s="1"/>
  <c r="A16" i="5"/>
  <c r="A22" i="5" s="1"/>
  <c r="A28" i="5" s="1"/>
  <c r="A34" i="5" s="1"/>
  <c r="A17" i="5"/>
  <c r="A23" i="5" s="1"/>
  <c r="A29" i="5" s="1"/>
  <c r="A35" i="5" s="1"/>
  <c r="A18" i="5"/>
  <c r="A24" i="5" s="1"/>
  <c r="A30" i="5" s="1"/>
  <c r="A36" i="5" s="1"/>
  <c r="A14" i="5"/>
  <c r="A20" i="5" s="1"/>
  <c r="A26" i="5" s="1"/>
  <c r="A32" i="5" s="1"/>
  <c r="D12" i="5"/>
  <c r="D112" i="5" l="1"/>
  <c r="D114" i="5"/>
  <c r="D113" i="5"/>
  <c r="D111" i="5"/>
  <c r="A246" i="5" l="1"/>
  <c r="A240" i="5"/>
  <c r="A234" i="5"/>
  <c r="A228" i="5"/>
  <c r="A222" i="5"/>
  <c r="A214" i="5"/>
  <c r="A208" i="5"/>
  <c r="A202" i="5"/>
  <c r="A196" i="5"/>
  <c r="A190" i="5"/>
  <c r="A182" i="5"/>
  <c r="A176" i="5"/>
  <c r="A170" i="5"/>
  <c r="A164" i="5"/>
  <c r="A158" i="5"/>
  <c r="A27" i="4" l="1"/>
  <c r="A26" i="4"/>
  <c r="A22" i="4"/>
  <c r="A21" i="4"/>
  <c r="A20" i="4"/>
  <c r="A19" i="4"/>
  <c r="A311" i="5" l="1"/>
  <c r="A305" i="5"/>
  <c r="A299" i="5"/>
  <c r="A293" i="5"/>
  <c r="A287" i="5"/>
  <c r="D106" i="5" l="1"/>
  <c r="D67" i="5" s="1"/>
  <c r="D105" i="5"/>
  <c r="D66" i="5" s="1"/>
  <c r="D104" i="5"/>
  <c r="D65" i="5" s="1"/>
  <c r="D100" i="5"/>
  <c r="D61" i="5" s="1"/>
  <c r="D99" i="5"/>
  <c r="D60" i="5" s="1"/>
  <c r="D98" i="5"/>
  <c r="D94" i="5"/>
  <c r="D55" i="5" s="1"/>
  <c r="D93" i="5"/>
  <c r="D54" i="5" s="1"/>
  <c r="D92" i="5"/>
  <c r="D87" i="5"/>
  <c r="D48" i="5" s="1"/>
  <c r="D88" i="5"/>
  <c r="D49" i="5" s="1"/>
  <c r="D86" i="5"/>
  <c r="D81" i="5"/>
  <c r="D42" i="5" s="1"/>
  <c r="D82" i="5"/>
  <c r="D80" i="5"/>
  <c r="D43" i="5"/>
  <c r="E34" i="5"/>
  <c r="E35" i="5"/>
  <c r="D34" i="5"/>
  <c r="D35" i="5"/>
  <c r="D33" i="5"/>
  <c r="D32" i="5"/>
  <c r="D28" i="5"/>
  <c r="D29" i="5"/>
  <c r="D27" i="5"/>
  <c r="A737" i="5"/>
  <c r="A731" i="5"/>
  <c r="A686" i="5"/>
  <c r="A677" i="5"/>
  <c r="A639" i="5"/>
  <c r="A629" i="5"/>
  <c r="A613" i="5"/>
  <c r="A623" i="5" s="1"/>
  <c r="A633" i="5" s="1"/>
  <c r="A643" i="5" s="1"/>
  <c r="A773" i="5"/>
  <c r="A766" i="5"/>
  <c r="D53" i="5" l="1"/>
  <c r="D59" i="5"/>
  <c r="D41" i="5"/>
  <c r="D47" i="5"/>
  <c r="D133" i="5"/>
  <c r="D132" i="5"/>
  <c r="D134" i="5"/>
  <c r="D131" i="5"/>
  <c r="D22" i="5"/>
  <c r="D23" i="5"/>
  <c r="E23" i="5"/>
  <c r="D21" i="5"/>
  <c r="D20" i="5"/>
  <c r="D16" i="5"/>
  <c r="D17" i="5"/>
  <c r="D15" i="5"/>
  <c r="D14" i="5"/>
  <c r="D10" i="5"/>
  <c r="D11" i="5"/>
  <c r="D9" i="5"/>
  <c r="D8" i="5"/>
  <c r="D123" i="5" l="1"/>
  <c r="D122" i="5"/>
  <c r="D124" i="5"/>
  <c r="D117" i="5"/>
  <c r="D119" i="5"/>
  <c r="D118" i="5"/>
  <c r="D116" i="5"/>
  <c r="D121" i="5"/>
  <c r="A759" i="5" l="1"/>
  <c r="A752" i="5"/>
  <c r="A745" i="5"/>
  <c r="A668" i="5"/>
  <c r="A659" i="5"/>
  <c r="A650" i="5"/>
  <c r="A619" i="5"/>
  <c r="A609" i="5"/>
  <c r="A599" i="5"/>
  <c r="A37" i="4"/>
  <c r="A36" i="4"/>
  <c r="A35" i="4"/>
  <c r="A34" i="4"/>
  <c r="A33" i="4"/>
  <c r="A343" i="5" l="1"/>
  <c r="A337" i="5"/>
  <c r="A331" i="5"/>
  <c r="A325" i="5"/>
  <c r="A319" i="5"/>
  <c r="A610" i="5" l="1"/>
  <c r="A620" i="5" s="1"/>
  <c r="A630" i="5" s="1"/>
  <c r="A640" i="5" s="1"/>
  <c r="A611" i="5"/>
  <c r="A621" i="5" s="1"/>
  <c r="A631" i="5" s="1"/>
  <c r="A641" i="5" s="1"/>
  <c r="A612" i="5"/>
  <c r="A622" i="5" s="1"/>
  <c r="A632" i="5" s="1"/>
  <c r="A642" i="5" s="1"/>
  <c r="A164" i="18" l="1"/>
  <c r="A163" i="18"/>
  <c r="A162" i="18"/>
  <c r="A161" i="18"/>
  <c r="A160" i="18"/>
  <c r="B2" i="18"/>
  <c r="A164" i="17"/>
  <c r="A163" i="17"/>
  <c r="A162" i="17"/>
  <c r="A161" i="17"/>
  <c r="A160" i="17"/>
  <c r="B2" i="17"/>
  <c r="A164" i="16"/>
  <c r="A163" i="16"/>
  <c r="A162" i="16"/>
  <c r="A161" i="16"/>
  <c r="A160" i="16"/>
  <c r="B2" i="16"/>
  <c r="A595" i="5" l="1"/>
  <c r="A416" i="5"/>
  <c r="A586" i="5"/>
  <c r="A593" i="5"/>
  <c r="A587" i="5"/>
  <c r="A594" i="5"/>
  <c r="A581" i="5"/>
  <c r="A588" i="5"/>
  <c r="A572" i="5"/>
  <c r="A579" i="5"/>
  <c r="A573" i="5"/>
  <c r="A580" i="5"/>
  <c r="A567" i="5"/>
  <c r="A574" i="5"/>
  <c r="A557" i="5"/>
  <c r="A565" i="5"/>
  <c r="A558" i="5"/>
  <c r="A566" i="5"/>
  <c r="A552" i="5"/>
  <c r="A559" i="5"/>
  <c r="A543" i="5"/>
  <c r="A550" i="5"/>
  <c r="A544" i="5"/>
  <c r="A551" i="5"/>
  <c r="A538" i="5"/>
  <c r="A545" i="5"/>
  <c r="A529" i="5"/>
  <c r="A536" i="5"/>
  <c r="A530" i="5"/>
  <c r="A537" i="5"/>
  <c r="A516" i="5"/>
  <c r="A531" i="5"/>
  <c r="A507" i="5"/>
  <c r="A514" i="5"/>
  <c r="A508" i="5"/>
  <c r="A515" i="5"/>
  <c r="A502" i="5"/>
  <c r="A509" i="5"/>
  <c r="A493" i="5"/>
  <c r="A500" i="5"/>
  <c r="A494" i="5"/>
  <c r="A501" i="5"/>
  <c r="A488" i="5"/>
  <c r="A495" i="5"/>
  <c r="A478" i="5"/>
  <c r="A486" i="5"/>
  <c r="A479" i="5"/>
  <c r="A487" i="5"/>
  <c r="A473" i="5"/>
  <c r="A480" i="5"/>
  <c r="A464" i="5"/>
  <c r="A471" i="5"/>
  <c r="A465" i="5"/>
  <c r="A472" i="5"/>
  <c r="A459" i="5"/>
  <c r="A466" i="5"/>
  <c r="A450" i="5"/>
  <c r="A457" i="5"/>
  <c r="A451" i="5"/>
  <c r="A458" i="5"/>
  <c r="A444" i="5"/>
  <c r="A452" i="5"/>
  <c r="A435" i="5"/>
  <c r="A442" i="5"/>
  <c r="A436" i="5"/>
  <c r="A443" i="5"/>
  <c r="A430" i="5"/>
  <c r="A437" i="5"/>
  <c r="A421" i="5"/>
  <c r="A428" i="5"/>
  <c r="A422" i="5"/>
  <c r="A429" i="5"/>
  <c r="A338" i="21"/>
  <c r="A423" i="5"/>
  <c r="A330" i="21"/>
  <c r="A336" i="21"/>
  <c r="A331" i="21"/>
  <c r="A337" i="21"/>
  <c r="A326" i="21"/>
  <c r="A332" i="21"/>
  <c r="A318" i="21"/>
  <c r="A324" i="21"/>
  <c r="A319" i="21"/>
  <c r="A325" i="21"/>
  <c r="A314" i="21"/>
  <c r="A320" i="21"/>
  <c r="A305" i="21"/>
  <c r="A312" i="21"/>
  <c r="A306" i="21"/>
  <c r="A313" i="21"/>
  <c r="A301" i="21"/>
  <c r="A307" i="21"/>
  <c r="A293" i="21"/>
  <c r="A299" i="21"/>
  <c r="A294" i="21"/>
  <c r="A300" i="21"/>
  <c r="A289" i="21"/>
  <c r="A295" i="21"/>
  <c r="A282" i="21"/>
  <c r="A288" i="21"/>
  <c r="A281" i="21"/>
  <c r="A287" i="21"/>
  <c r="A269" i="21"/>
  <c r="A102" i="21" s="1"/>
  <c r="A283" i="21"/>
  <c r="A261" i="21"/>
  <c r="A94" i="21" s="1"/>
  <c r="A267" i="21"/>
  <c r="A262" i="21"/>
  <c r="A95" i="21" s="1"/>
  <c r="A268" i="21"/>
  <c r="A257" i="21"/>
  <c r="A90" i="21" s="1"/>
  <c r="A263" i="21"/>
  <c r="A96" i="21" s="1"/>
  <c r="A249" i="21"/>
  <c r="A82" i="21" s="1"/>
  <c r="A255" i="21"/>
  <c r="A88" i="21" s="1"/>
  <c r="A250" i="21"/>
  <c r="A83" i="21" s="1"/>
  <c r="A256" i="21"/>
  <c r="A89" i="21" s="1"/>
  <c r="A245" i="21"/>
  <c r="A78" i="21" s="1"/>
  <c r="A251" i="21"/>
  <c r="A84" i="21" s="1"/>
  <c r="A236" i="21"/>
  <c r="A69" i="21" s="1"/>
  <c r="A243" i="21"/>
  <c r="A237" i="21"/>
  <c r="A244" i="21"/>
  <c r="A232" i="21"/>
  <c r="A65" i="21" s="1"/>
  <c r="A238" i="21"/>
  <c r="A71" i="21" s="1"/>
  <c r="A225" i="21"/>
  <c r="A58" i="21" s="1"/>
  <c r="A231" i="21"/>
  <c r="A64" i="21" s="1"/>
  <c r="A224" i="21"/>
  <c r="A230" i="21"/>
  <c r="A63" i="21" s="1"/>
  <c r="A220" i="21"/>
  <c r="A53" i="21" s="1"/>
  <c r="A226" i="21"/>
  <c r="A59" i="21" s="1"/>
  <c r="A212" i="21"/>
  <c r="A45" i="21" s="1"/>
  <c r="A218" i="21"/>
  <c r="A51" i="21" s="1"/>
  <c r="A213" i="21"/>
  <c r="A46" i="21" s="1"/>
  <c r="A219" i="21"/>
  <c r="A52" i="21" s="1"/>
  <c r="A207" i="21"/>
  <c r="A39" i="21" s="1"/>
  <c r="A214" i="21"/>
  <c r="A47" i="21" s="1"/>
  <c r="A199" i="21"/>
  <c r="A31" i="21" s="1"/>
  <c r="A205" i="21"/>
  <c r="A37" i="21" s="1"/>
  <c r="A200" i="21"/>
  <c r="A32" i="21" s="1"/>
  <c r="A206" i="21"/>
  <c r="A38" i="21" s="1"/>
  <c r="A183" i="21"/>
  <c r="A15" i="21" s="1"/>
  <c r="A201" i="21"/>
  <c r="A33" i="21" s="1"/>
  <c r="A189" i="21"/>
  <c r="A21" i="21" s="1"/>
  <c r="A195" i="21"/>
  <c r="A27" i="21" s="1"/>
  <c r="A415" i="5"/>
  <c r="A77" i="21"/>
  <c r="A194" i="21"/>
  <c r="A26" i="21" s="1"/>
  <c r="A182" i="21"/>
  <c r="A14" i="21" s="1"/>
  <c r="A70" i="21"/>
  <c r="A188" i="21"/>
  <c r="A20" i="21" s="1"/>
  <c r="A414" i="5"/>
  <c r="A76" i="21"/>
  <c r="A193" i="21"/>
  <c r="A25" i="21" s="1"/>
  <c r="A181" i="21"/>
  <c r="A13" i="21" s="1"/>
  <c r="A57" i="21"/>
  <c r="A187" i="21"/>
  <c r="A19" i="21" s="1"/>
  <c r="A87" i="21"/>
  <c r="A75" i="21"/>
  <c r="A62" i="21"/>
  <c r="A50" i="21"/>
  <c r="A36" i="21"/>
  <c r="A24" i="21"/>
  <c r="A12" i="21"/>
  <c r="A93" i="21"/>
  <c r="A81" i="21"/>
  <c r="A68" i="21"/>
  <c r="A56" i="21"/>
  <c r="A44" i="21"/>
  <c r="A30" i="21"/>
  <c r="A18" i="21"/>
  <c r="A44" i="2"/>
  <c r="A32" i="2"/>
  <c r="A56" i="2"/>
  <c r="A277" i="5"/>
  <c r="A265" i="5"/>
  <c r="A283" i="5"/>
  <c r="A271" i="5"/>
  <c r="A259" i="5"/>
  <c r="A278" i="5"/>
  <c r="A266" i="5"/>
  <c r="A284" i="5"/>
  <c r="A272" i="5"/>
  <c r="A260" i="5"/>
  <c r="A276" i="5"/>
  <c r="A264" i="5"/>
  <c r="A282" i="5"/>
  <c r="A270" i="5"/>
  <c r="A258" i="5"/>
  <c r="A275" i="5"/>
  <c r="A263" i="5"/>
  <c r="A281" i="5"/>
  <c r="A269" i="5"/>
  <c r="A257" i="5"/>
  <c r="A242" i="5"/>
  <c r="A230" i="5"/>
  <c r="A248" i="5"/>
  <c r="A236" i="5"/>
  <c r="A224" i="5"/>
  <c r="A244" i="5"/>
  <c r="A232" i="5"/>
  <c r="A250" i="5"/>
  <c r="A238" i="5"/>
  <c r="A226" i="5"/>
  <c r="A243" i="5"/>
  <c r="A231" i="5"/>
  <c r="A249" i="5"/>
  <c r="A237" i="5"/>
  <c r="A225" i="5"/>
  <c r="A245" i="5"/>
  <c r="A233" i="5"/>
  <c r="A251" i="5"/>
  <c r="A239" i="5"/>
  <c r="A227" i="5"/>
  <c r="A210" i="5"/>
  <c r="A198" i="5"/>
  <c r="A216" i="5"/>
  <c r="A204" i="5"/>
  <c r="A192" i="5"/>
  <c r="A212" i="5"/>
  <c r="A200" i="5"/>
  <c r="A218" i="5"/>
  <c r="A206" i="5"/>
  <c r="A194" i="5"/>
  <c r="A211" i="5"/>
  <c r="A199" i="5"/>
  <c r="A217" i="5"/>
  <c r="A205" i="5"/>
  <c r="A193" i="5"/>
  <c r="A213" i="5"/>
  <c r="A201" i="5"/>
  <c r="A219" i="5"/>
  <c r="A207" i="5"/>
  <c r="A195" i="5"/>
  <c r="A178" i="5"/>
  <c r="A166" i="5"/>
  <c r="A184" i="5"/>
  <c r="A172" i="5"/>
  <c r="A160" i="5"/>
  <c r="A180" i="5"/>
  <c r="A168" i="5"/>
  <c r="A186" i="5"/>
  <c r="A174" i="5"/>
  <c r="A162" i="5"/>
  <c r="A179" i="5"/>
  <c r="A167" i="5"/>
  <c r="A185" i="5"/>
  <c r="A173" i="5"/>
  <c r="A161" i="5"/>
  <c r="A181" i="5"/>
  <c r="A169" i="5"/>
  <c r="A187" i="5"/>
  <c r="A175" i="5"/>
  <c r="A163" i="5"/>
  <c r="A307" i="5"/>
  <c r="A295" i="5"/>
  <c r="A313" i="5"/>
  <c r="A301" i="5"/>
  <c r="A289" i="5"/>
  <c r="A309" i="5"/>
  <c r="A297" i="5"/>
  <c r="A315" i="5"/>
  <c r="A303" i="5"/>
  <c r="A291" i="5"/>
  <c r="A308" i="5"/>
  <c r="A296" i="5"/>
  <c r="A314" i="5"/>
  <c r="A302" i="5"/>
  <c r="A290" i="5"/>
  <c r="A310" i="5"/>
  <c r="A298" i="5"/>
  <c r="A316" i="5"/>
  <c r="A304" i="5"/>
  <c r="A292" i="5"/>
  <c r="A346" i="5"/>
  <c r="A340" i="5"/>
  <c r="A328" i="5"/>
  <c r="A334" i="5"/>
  <c r="A322" i="5"/>
  <c r="A329" i="5"/>
  <c r="A347" i="5"/>
  <c r="A341" i="5"/>
  <c r="A335" i="5"/>
  <c r="A323" i="5"/>
  <c r="A348" i="5"/>
  <c r="A342" i="5"/>
  <c r="A330" i="5"/>
  <c r="A336" i="5"/>
  <c r="A324" i="5"/>
  <c r="A327" i="5"/>
  <c r="H327" i="5" s="1"/>
  <c r="A345" i="5"/>
  <c r="H345" i="5" s="1"/>
  <c r="A339" i="5"/>
  <c r="H339" i="5" s="1"/>
  <c r="A333" i="5"/>
  <c r="H333" i="5" s="1"/>
  <c r="A321" i="5"/>
  <c r="H321" i="5" s="1"/>
  <c r="G201" i="5" l="1"/>
  <c r="F201" i="5"/>
  <c r="E201" i="5"/>
  <c r="D201" i="5"/>
  <c r="H201" i="5"/>
  <c r="F217" i="5"/>
  <c r="G217" i="5"/>
  <c r="H217" i="5"/>
  <c r="D217" i="5"/>
  <c r="E217" i="5"/>
  <c r="G211" i="5"/>
  <c r="H211" i="5"/>
  <c r="D211" i="5"/>
  <c r="E211" i="5"/>
  <c r="F211" i="5"/>
  <c r="D200" i="5"/>
  <c r="H200" i="5"/>
  <c r="G200" i="5"/>
  <c r="F200" i="5"/>
  <c r="E200" i="5"/>
  <c r="G216" i="5"/>
  <c r="H216" i="5"/>
  <c r="D216" i="5"/>
  <c r="E216" i="5"/>
  <c r="F216" i="5"/>
  <c r="H210" i="5"/>
  <c r="D210" i="5"/>
  <c r="E210" i="5"/>
  <c r="F210" i="5"/>
  <c r="G210" i="5"/>
  <c r="H219" i="5"/>
  <c r="D219" i="5"/>
  <c r="E219" i="5"/>
  <c r="F219" i="5"/>
  <c r="G219" i="5"/>
  <c r="E213" i="5"/>
  <c r="F213" i="5"/>
  <c r="G213" i="5"/>
  <c r="H213" i="5"/>
  <c r="D213" i="5"/>
  <c r="E199" i="5"/>
  <c r="D199" i="5"/>
  <c r="H199" i="5"/>
  <c r="G199" i="5"/>
  <c r="F199" i="5"/>
  <c r="E218" i="5"/>
  <c r="F218" i="5"/>
  <c r="G218" i="5"/>
  <c r="H218" i="5"/>
  <c r="D218" i="5"/>
  <c r="F212" i="5"/>
  <c r="G212" i="5"/>
  <c r="H212" i="5"/>
  <c r="D212" i="5"/>
  <c r="E212" i="5"/>
  <c r="F198" i="5"/>
  <c r="E198" i="5"/>
  <c r="D198" i="5"/>
  <c r="H198" i="5"/>
  <c r="G198" i="5"/>
  <c r="D179" i="5"/>
  <c r="E179" i="5"/>
  <c r="G179" i="5"/>
  <c r="F179" i="5"/>
  <c r="H179" i="5"/>
  <c r="E178" i="5"/>
  <c r="G178" i="5"/>
  <c r="F178" i="5"/>
  <c r="H178" i="5"/>
  <c r="D181" i="5"/>
  <c r="E181" i="5"/>
  <c r="G181" i="5"/>
  <c r="F181" i="5"/>
  <c r="H181" i="5"/>
  <c r="D180" i="5"/>
  <c r="E180" i="5"/>
  <c r="G180" i="5"/>
  <c r="F180" i="5"/>
  <c r="H180" i="5"/>
  <c r="D178" i="5"/>
  <c r="H328" i="5"/>
  <c r="H323" i="5"/>
  <c r="H334" i="5"/>
  <c r="H342" i="5"/>
  <c r="H341" i="5"/>
  <c r="H340" i="5"/>
  <c r="H348" i="5"/>
  <c r="H347" i="5"/>
  <c r="H346" i="5"/>
  <c r="F348" i="5"/>
  <c r="G348" i="5"/>
  <c r="D348" i="5"/>
  <c r="E348" i="5"/>
  <c r="F347" i="5"/>
  <c r="G347" i="5"/>
  <c r="D347" i="5"/>
  <c r="E347" i="5"/>
  <c r="F346" i="5"/>
  <c r="G346" i="5"/>
  <c r="D346" i="5"/>
  <c r="E346" i="5"/>
  <c r="F345" i="5"/>
  <c r="G345" i="5"/>
  <c r="D345" i="5"/>
  <c r="E345" i="5"/>
  <c r="F342" i="5"/>
  <c r="G342" i="5"/>
  <c r="D342" i="5"/>
  <c r="E342" i="5"/>
  <c r="F341" i="5"/>
  <c r="G341" i="5"/>
  <c r="H330" i="5"/>
  <c r="H335" i="5"/>
  <c r="D341" i="5"/>
  <c r="E341" i="5"/>
  <c r="F340" i="5"/>
  <c r="G340" i="5"/>
  <c r="D340" i="5"/>
  <c r="E340" i="5"/>
  <c r="F339" i="5"/>
  <c r="G339" i="5"/>
  <c r="D339" i="5"/>
  <c r="E339" i="5"/>
  <c r="H336" i="5"/>
  <c r="F336" i="5"/>
  <c r="G336" i="5"/>
  <c r="D336" i="5"/>
  <c r="E336" i="5"/>
  <c r="F335" i="5"/>
  <c r="G335" i="5"/>
  <c r="D335" i="5"/>
  <c r="E335" i="5"/>
  <c r="F334" i="5"/>
  <c r="G334" i="5"/>
  <c r="D334" i="5"/>
  <c r="E334" i="5"/>
  <c r="F333" i="5"/>
  <c r="G333" i="5"/>
  <c r="D333" i="5"/>
  <c r="E333" i="5"/>
  <c r="F330" i="5"/>
  <c r="G330" i="5"/>
  <c r="D330" i="5"/>
  <c r="E330" i="5"/>
  <c r="H329" i="5"/>
  <c r="F329" i="5"/>
  <c r="G329" i="5"/>
  <c r="D329" i="5"/>
  <c r="E329" i="5"/>
  <c r="F328" i="5"/>
  <c r="G328" i="5"/>
  <c r="D328" i="5"/>
  <c r="E328" i="5"/>
  <c r="F327" i="5"/>
  <c r="G327" i="5"/>
  <c r="D327" i="5"/>
  <c r="E327" i="5"/>
  <c r="H324" i="5"/>
  <c r="H322" i="5"/>
  <c r="F324" i="5"/>
  <c r="G324" i="5"/>
  <c r="D324" i="5"/>
  <c r="E324" i="5"/>
  <c r="F323" i="5"/>
  <c r="G323" i="5"/>
  <c r="D323" i="5"/>
  <c r="E323" i="5"/>
  <c r="F322" i="5"/>
  <c r="G322" i="5"/>
  <c r="D322" i="5"/>
  <c r="E322" i="5"/>
  <c r="F321" i="5"/>
  <c r="G321" i="5"/>
  <c r="D321" i="5"/>
  <c r="E321" i="5"/>
  <c r="H195" i="5"/>
  <c r="F195" i="5"/>
  <c r="D195" i="5"/>
  <c r="G195" i="5"/>
  <c r="E195" i="5"/>
  <c r="H205" i="5"/>
  <c r="F205" i="5"/>
  <c r="D205" i="5"/>
  <c r="G205" i="5"/>
  <c r="E205" i="5"/>
  <c r="G194" i="5"/>
  <c r="E194" i="5"/>
  <c r="H194" i="5"/>
  <c r="F194" i="5"/>
  <c r="D194" i="5"/>
  <c r="G204" i="5"/>
  <c r="E204" i="5"/>
  <c r="H204" i="5"/>
  <c r="F204" i="5"/>
  <c r="D204" i="5"/>
  <c r="H207" i="5"/>
  <c r="F207" i="5"/>
  <c r="D207" i="5"/>
  <c r="G207" i="5"/>
  <c r="E207" i="5"/>
  <c r="H193" i="5"/>
  <c r="F193" i="5"/>
  <c r="D193" i="5"/>
  <c r="G193" i="5"/>
  <c r="E193" i="5"/>
  <c r="G206" i="5"/>
  <c r="E206" i="5"/>
  <c r="H206" i="5"/>
  <c r="F206" i="5"/>
  <c r="D206" i="5"/>
  <c r="G192" i="5"/>
  <c r="E192" i="5"/>
  <c r="H192" i="5"/>
  <c r="F192" i="5"/>
  <c r="D192" i="5"/>
  <c r="E314" i="5"/>
  <c r="G314" i="5"/>
  <c r="D314" i="5"/>
  <c r="F314" i="5"/>
  <c r="H314" i="5"/>
  <c r="D313" i="5"/>
  <c r="F313" i="5"/>
  <c r="H313" i="5"/>
  <c r="E313" i="5"/>
  <c r="G313" i="5"/>
  <c r="E316" i="5"/>
  <c r="G316" i="5"/>
  <c r="D316" i="5"/>
  <c r="F316" i="5"/>
  <c r="H316" i="5"/>
  <c r="D315" i="5"/>
  <c r="F315" i="5"/>
  <c r="H315" i="5"/>
  <c r="E315" i="5"/>
  <c r="G315" i="5"/>
  <c r="E310" i="5"/>
  <c r="G310" i="5"/>
  <c r="D310" i="5"/>
  <c r="F310" i="5"/>
  <c r="H310" i="5"/>
  <c r="D309" i="5"/>
  <c r="F309" i="5"/>
  <c r="H309" i="5"/>
  <c r="E309" i="5"/>
  <c r="G309" i="5"/>
  <c r="E308" i="5"/>
  <c r="G308" i="5"/>
  <c r="D308" i="5"/>
  <c r="F308" i="5"/>
  <c r="H308" i="5"/>
  <c r="D307" i="5"/>
  <c r="F307" i="5"/>
  <c r="H307" i="5"/>
  <c r="E307" i="5"/>
  <c r="G307" i="5"/>
  <c r="E302" i="5"/>
  <c r="G302" i="5"/>
  <c r="D302" i="5"/>
  <c r="F302" i="5"/>
  <c r="H302" i="5"/>
  <c r="D301" i="5"/>
  <c r="F301" i="5"/>
  <c r="H301" i="5"/>
  <c r="E301" i="5"/>
  <c r="G301" i="5"/>
  <c r="E304" i="5"/>
  <c r="G304" i="5"/>
  <c r="D304" i="5"/>
  <c r="F304" i="5"/>
  <c r="H304" i="5"/>
  <c r="D303" i="5"/>
  <c r="F303" i="5"/>
  <c r="H303" i="5"/>
  <c r="E303" i="5"/>
  <c r="G303" i="5"/>
  <c r="E296" i="5"/>
  <c r="G296" i="5"/>
  <c r="D296" i="5"/>
  <c r="F296" i="5"/>
  <c r="H296" i="5"/>
  <c r="D295" i="5"/>
  <c r="F295" i="5"/>
  <c r="H295" i="5"/>
  <c r="E295" i="5"/>
  <c r="G295" i="5"/>
  <c r="E298" i="5"/>
  <c r="G298" i="5"/>
  <c r="D298" i="5"/>
  <c r="F298" i="5"/>
  <c r="H298" i="5"/>
  <c r="D297" i="5"/>
  <c r="F297" i="5"/>
  <c r="H297" i="5"/>
  <c r="E297" i="5"/>
  <c r="G297" i="5"/>
  <c r="G290" i="5"/>
  <c r="F290" i="5"/>
  <c r="H290" i="5"/>
  <c r="F289" i="5"/>
  <c r="H289" i="5"/>
  <c r="G289" i="5"/>
  <c r="G292" i="5"/>
  <c r="F292" i="5"/>
  <c r="H292" i="5"/>
  <c r="F291" i="5"/>
  <c r="H291" i="5"/>
  <c r="G291" i="5"/>
  <c r="D290" i="5"/>
  <c r="E290" i="5"/>
  <c r="D289" i="5"/>
  <c r="E289" i="5"/>
  <c r="D292" i="5"/>
  <c r="E292" i="5"/>
  <c r="D291" i="5"/>
  <c r="E291" i="5"/>
  <c r="A116" i="21"/>
  <c r="A101" i="21"/>
  <c r="A100" i="21"/>
  <c r="G185" i="5"/>
  <c r="A99" i="21"/>
  <c r="G175" i="5"/>
  <c r="E175" i="5"/>
  <c r="H175" i="5"/>
  <c r="F175" i="5"/>
  <c r="D175" i="5"/>
  <c r="G161" i="5"/>
  <c r="E161" i="5"/>
  <c r="H161" i="5"/>
  <c r="F161" i="5"/>
  <c r="D161" i="5"/>
  <c r="H160" i="5"/>
  <c r="F160" i="5"/>
  <c r="D160" i="5"/>
  <c r="G160" i="5"/>
  <c r="E160" i="5"/>
  <c r="H169" i="5"/>
  <c r="F169" i="5"/>
  <c r="D169" i="5"/>
  <c r="G169" i="5"/>
  <c r="E169" i="5"/>
  <c r="F185" i="5"/>
  <c r="H174" i="5"/>
  <c r="F174" i="5"/>
  <c r="D174" i="5"/>
  <c r="G174" i="5"/>
  <c r="E174" i="5"/>
  <c r="G168" i="5"/>
  <c r="E168" i="5"/>
  <c r="H168" i="5"/>
  <c r="F168" i="5"/>
  <c r="D168" i="5"/>
  <c r="D184" i="5"/>
  <c r="G163" i="5"/>
  <c r="E163" i="5"/>
  <c r="H163" i="5"/>
  <c r="F163" i="5"/>
  <c r="D163" i="5"/>
  <c r="H187" i="5"/>
  <c r="G173" i="5"/>
  <c r="E173" i="5"/>
  <c r="H173" i="5"/>
  <c r="F173" i="5"/>
  <c r="D173" i="5"/>
  <c r="H167" i="5"/>
  <c r="F167" i="5"/>
  <c r="D167" i="5"/>
  <c r="G167" i="5"/>
  <c r="E167" i="5"/>
  <c r="H162" i="5"/>
  <c r="F162" i="5"/>
  <c r="D162" i="5"/>
  <c r="G162" i="5"/>
  <c r="E162" i="5"/>
  <c r="F186" i="5"/>
  <c r="H172" i="5"/>
  <c r="F172" i="5"/>
  <c r="D172" i="5"/>
  <c r="G172" i="5"/>
  <c r="E172" i="5"/>
  <c r="G166" i="5"/>
  <c r="E166" i="5"/>
  <c r="H166" i="5"/>
  <c r="F166" i="5"/>
  <c r="D166" i="5"/>
  <c r="B2" i="6"/>
  <c r="A122" i="21" l="1"/>
  <c r="G186" i="5"/>
  <c r="D187" i="5"/>
  <c r="G187" i="5"/>
  <c r="E184" i="5"/>
  <c r="H184" i="5"/>
  <c r="E185" i="5"/>
  <c r="A115" i="21"/>
  <c r="E186" i="5"/>
  <c r="D186" i="5"/>
  <c r="H186" i="5"/>
  <c r="F187" i="5"/>
  <c r="E187" i="5"/>
  <c r="G184" i="5"/>
  <c r="F184" i="5"/>
  <c r="D185" i="5"/>
  <c r="H185" i="5"/>
  <c r="A114" i="21"/>
  <c r="A113" i="21"/>
  <c r="A274" i="5"/>
  <c r="A262" i="5"/>
  <c r="A280" i="5"/>
  <c r="A268" i="5"/>
  <c r="A256" i="5"/>
  <c r="A241" i="5"/>
  <c r="A229" i="5"/>
  <c r="A247" i="5"/>
  <c r="A235" i="5"/>
  <c r="A223" i="5"/>
  <c r="A209" i="5"/>
  <c r="A197" i="5"/>
  <c r="A215" i="5"/>
  <c r="A203" i="5"/>
  <c r="A191" i="5"/>
  <c r="A177" i="5"/>
  <c r="A165" i="5"/>
  <c r="A183" i="5"/>
  <c r="A171" i="5"/>
  <c r="A159" i="5"/>
  <c r="A306" i="5"/>
  <c r="A294" i="5"/>
  <c r="A312" i="5"/>
  <c r="A300" i="5"/>
  <c r="A288" i="5"/>
  <c r="A344" i="5"/>
  <c r="H344" i="5" s="1"/>
  <c r="A338" i="5"/>
  <c r="H338" i="5" s="1"/>
  <c r="A326" i="5"/>
  <c r="H326" i="5" s="1"/>
  <c r="A332" i="5"/>
  <c r="H332" i="5" s="1"/>
  <c r="A320" i="5"/>
  <c r="H320" i="5" s="1"/>
  <c r="A142" i="5"/>
  <c r="A146" i="5" s="1"/>
  <c r="A150" i="5" s="1"/>
  <c r="A45" i="4"/>
  <c r="A44" i="4"/>
  <c r="A43" i="4"/>
  <c r="A42" i="4"/>
  <c r="A41" i="4"/>
  <c r="D42" i="18" l="1"/>
  <c r="H42" i="17"/>
  <c r="H72" i="18"/>
  <c r="G42" i="17"/>
  <c r="H57" i="18"/>
  <c r="F72" i="18"/>
  <c r="G72" i="18"/>
  <c r="D72" i="18"/>
  <c r="E72" i="18"/>
  <c r="F57" i="18"/>
  <c r="G57" i="18"/>
  <c r="D57" i="18"/>
  <c r="E57" i="18"/>
  <c r="H42" i="18"/>
  <c r="G42" i="18"/>
  <c r="F42" i="18"/>
  <c r="E42" i="18"/>
  <c r="H27" i="18"/>
  <c r="G27" i="18"/>
  <c r="F27" i="18"/>
  <c r="E27" i="18"/>
  <c r="D27" i="18"/>
  <c r="G12" i="18"/>
  <c r="H12" i="18"/>
  <c r="E12" i="18"/>
  <c r="F12" i="18"/>
  <c r="D12" i="18"/>
  <c r="G72" i="17"/>
  <c r="H72" i="17"/>
  <c r="E72" i="17"/>
  <c r="F72" i="17"/>
  <c r="H57" i="17"/>
  <c r="D72" i="17"/>
  <c r="F57" i="17"/>
  <c r="G57" i="17"/>
  <c r="D57" i="17"/>
  <c r="E57" i="17"/>
  <c r="F42" i="17"/>
  <c r="E42" i="17"/>
  <c r="D42" i="17"/>
  <c r="H27" i="17"/>
  <c r="G27" i="17"/>
  <c r="F27" i="17"/>
  <c r="H12" i="17"/>
  <c r="E27" i="17"/>
  <c r="H72" i="16"/>
  <c r="D27" i="17"/>
  <c r="H57" i="16"/>
  <c r="F12" i="17"/>
  <c r="G12" i="17"/>
  <c r="D12" i="17"/>
  <c r="E12" i="17"/>
  <c r="D72" i="16"/>
  <c r="G72" i="16"/>
  <c r="E72" i="16"/>
  <c r="F72" i="16"/>
  <c r="F57" i="16"/>
  <c r="G57" i="16"/>
  <c r="D57" i="16"/>
  <c r="E57" i="16"/>
  <c r="H42" i="16"/>
  <c r="G42" i="16"/>
  <c r="F42" i="16"/>
  <c r="E42" i="16"/>
  <c r="D42" i="16"/>
  <c r="H27" i="16"/>
  <c r="G27" i="16"/>
  <c r="F27" i="16"/>
  <c r="E27" i="16"/>
  <c r="H72" i="15"/>
  <c r="D27" i="16"/>
  <c r="H57" i="15"/>
  <c r="G12" i="16"/>
  <c r="H12" i="16"/>
  <c r="E12" i="16"/>
  <c r="F12" i="16"/>
  <c r="D12" i="16"/>
  <c r="F72" i="15"/>
  <c r="G72" i="15"/>
  <c r="D72" i="15"/>
  <c r="E72" i="15"/>
  <c r="F57" i="15"/>
  <c r="G57" i="15"/>
  <c r="D57" i="15"/>
  <c r="E57" i="15"/>
  <c r="H42" i="15"/>
  <c r="G42" i="15"/>
  <c r="F42" i="15"/>
  <c r="E42" i="15"/>
  <c r="D42" i="15"/>
  <c r="H27" i="15"/>
  <c r="G27" i="15"/>
  <c r="F27" i="15"/>
  <c r="D27" i="15"/>
  <c r="E27" i="15"/>
  <c r="H215" i="5"/>
  <c r="D215" i="5"/>
  <c r="E215" i="5"/>
  <c r="F215" i="5"/>
  <c r="G215" i="5"/>
  <c r="E209" i="5"/>
  <c r="F209" i="5"/>
  <c r="G209" i="5"/>
  <c r="H209" i="5"/>
  <c r="D209" i="5"/>
  <c r="D64" i="1" s="1"/>
  <c r="E177" i="5"/>
  <c r="G177" i="5"/>
  <c r="F177" i="5"/>
  <c r="H177" i="5"/>
  <c r="F344" i="5"/>
  <c r="G344" i="5"/>
  <c r="D344" i="5"/>
  <c r="E344" i="5"/>
  <c r="F338" i="5"/>
  <c r="G338" i="5"/>
  <c r="D338" i="5"/>
  <c r="E338" i="5"/>
  <c r="F332" i="5"/>
  <c r="G332" i="5"/>
  <c r="D332" i="5"/>
  <c r="E332" i="5"/>
  <c r="F326" i="5"/>
  <c r="G326" i="5"/>
  <c r="D326" i="5"/>
  <c r="E326" i="5"/>
  <c r="F320" i="5"/>
  <c r="G320" i="5"/>
  <c r="D320" i="5"/>
  <c r="E320" i="5"/>
  <c r="H191" i="5"/>
  <c r="F191" i="5"/>
  <c r="D191" i="5"/>
  <c r="G191" i="5"/>
  <c r="E191" i="5"/>
  <c r="H203" i="5"/>
  <c r="F203" i="5"/>
  <c r="D203" i="5"/>
  <c r="G203" i="5"/>
  <c r="E203" i="5"/>
  <c r="G197" i="5"/>
  <c r="E197" i="5"/>
  <c r="H197" i="5"/>
  <c r="F197" i="5"/>
  <c r="D197" i="5"/>
  <c r="D312" i="5"/>
  <c r="D72" i="1" s="1"/>
  <c r="E312" i="5"/>
  <c r="E72" i="1" s="1"/>
  <c r="G312" i="5"/>
  <c r="G72" i="1" s="1"/>
  <c r="F312" i="5"/>
  <c r="F72" i="1" s="1"/>
  <c r="H312" i="5"/>
  <c r="H72" i="1" s="1"/>
  <c r="D306" i="5"/>
  <c r="D57" i="1" s="1"/>
  <c r="E306" i="5"/>
  <c r="E57" i="1" s="1"/>
  <c r="G306" i="5"/>
  <c r="G57" i="1" s="1"/>
  <c r="F306" i="5"/>
  <c r="F57" i="1" s="1"/>
  <c r="H306" i="5"/>
  <c r="H57" i="1" s="1"/>
  <c r="D300" i="5"/>
  <c r="D42" i="1" s="1"/>
  <c r="E300" i="5"/>
  <c r="E42" i="1" s="1"/>
  <c r="G300" i="5"/>
  <c r="G42" i="1" s="1"/>
  <c r="F300" i="5"/>
  <c r="F42" i="1" s="1"/>
  <c r="H300" i="5"/>
  <c r="H42" i="1" s="1"/>
  <c r="D294" i="5"/>
  <c r="D27" i="1" s="1"/>
  <c r="E294" i="5"/>
  <c r="G294" i="5"/>
  <c r="F294" i="5"/>
  <c r="H294" i="5"/>
  <c r="E288" i="5"/>
  <c r="G288" i="5"/>
  <c r="H288" i="5"/>
  <c r="F288" i="5"/>
  <c r="D288" i="5"/>
  <c r="A128" i="21"/>
  <c r="A121" i="21"/>
  <c r="A120" i="21"/>
  <c r="A119" i="21"/>
  <c r="G159" i="5"/>
  <c r="E159" i="5"/>
  <c r="H159" i="5"/>
  <c r="F159" i="5"/>
  <c r="D159" i="5"/>
  <c r="G183" i="5"/>
  <c r="E183" i="5"/>
  <c r="H183" i="5"/>
  <c r="F183" i="5"/>
  <c r="D183" i="5"/>
  <c r="D177" i="5"/>
  <c r="G171" i="5"/>
  <c r="E171" i="5"/>
  <c r="H171" i="5"/>
  <c r="F171" i="5"/>
  <c r="D171" i="5"/>
  <c r="H165" i="5"/>
  <c r="F165" i="5"/>
  <c r="D165" i="5"/>
  <c r="G165" i="5"/>
  <c r="E165" i="5"/>
  <c r="A18" i="18"/>
  <c r="A33" i="18" s="1"/>
  <c r="A48" i="18" s="1"/>
  <c r="A63" i="18" s="1"/>
  <c r="A78" i="18" s="1"/>
  <c r="A95" i="18" s="1"/>
  <c r="A110" i="18" s="1"/>
  <c r="A125" i="18" s="1"/>
  <c r="A140" i="18" s="1"/>
  <c r="A155" i="18" s="1"/>
  <c r="A18" i="17"/>
  <c r="A33" i="17" s="1"/>
  <c r="A48" i="17" s="1"/>
  <c r="A63" i="17" s="1"/>
  <c r="A78" i="17" s="1"/>
  <c r="A95" i="17" s="1"/>
  <c r="A110" i="17" s="1"/>
  <c r="A125" i="17" s="1"/>
  <c r="A140" i="17" s="1"/>
  <c r="A155" i="17" s="1"/>
  <c r="A18" i="16"/>
  <c r="A33" i="16" s="1"/>
  <c r="A48" i="16" s="1"/>
  <c r="A63" i="16" s="1"/>
  <c r="A78" i="16" s="1"/>
  <c r="A95" i="16" s="1"/>
  <c r="A110" i="16" s="1"/>
  <c r="A125" i="16" s="1"/>
  <c r="A140" i="16" s="1"/>
  <c r="A155" i="16" s="1"/>
  <c r="A154" i="5"/>
  <c r="A725" i="5"/>
  <c r="A719" i="5"/>
  <c r="A713" i="5"/>
  <c r="A140" i="21" l="1"/>
  <c r="A134" i="21"/>
  <c r="A127" i="21"/>
  <c r="A126" i="21"/>
  <c r="A125" i="21"/>
  <c r="A63" i="5"/>
  <c r="A57" i="5"/>
  <c r="A51" i="5"/>
  <c r="A45" i="5"/>
  <c r="A39" i="5"/>
  <c r="A153" i="5"/>
  <c r="A149" i="5"/>
  <c r="A145" i="5"/>
  <c r="A141" i="5"/>
  <c r="A18" i="4"/>
  <c r="A25" i="4"/>
  <c r="A28" i="4"/>
  <c r="A29" i="4"/>
  <c r="A102" i="5"/>
  <c r="A96" i="5"/>
  <c r="A90" i="5"/>
  <c r="A84" i="5"/>
  <c r="A78" i="5"/>
  <c r="F147" i="5" l="1"/>
  <c r="E147" i="5"/>
  <c r="G147" i="5"/>
  <c r="H147" i="5"/>
  <c r="A147" i="21"/>
  <c r="H154" i="5"/>
  <c r="F154" i="5"/>
  <c r="D154" i="5"/>
  <c r="G154" i="5"/>
  <c r="E154" i="5"/>
  <c r="E155" i="5"/>
  <c r="F155" i="5"/>
  <c r="D155" i="5"/>
  <c r="G155" i="5"/>
  <c r="H155" i="5"/>
  <c r="G150" i="5"/>
  <c r="E150" i="5"/>
  <c r="H150" i="5"/>
  <c r="F150" i="5"/>
  <c r="D150" i="5"/>
  <c r="E151" i="5"/>
  <c r="D151" i="5"/>
  <c r="F151" i="5"/>
  <c r="G151" i="5"/>
  <c r="H151" i="5"/>
  <c r="H146" i="5"/>
  <c r="F146" i="5"/>
  <c r="D146" i="5"/>
  <c r="G146" i="5"/>
  <c r="E146" i="5"/>
  <c r="D147" i="5"/>
  <c r="G142" i="5"/>
  <c r="E142" i="5"/>
  <c r="H142" i="5"/>
  <c r="F142" i="5"/>
  <c r="D142" i="5"/>
  <c r="E143" i="5"/>
  <c r="D143" i="5"/>
  <c r="F143" i="5"/>
  <c r="G143" i="5"/>
  <c r="H143" i="5"/>
  <c r="E139" i="5"/>
  <c r="D139" i="5"/>
  <c r="F139" i="5"/>
  <c r="G139" i="5"/>
  <c r="H139" i="5"/>
  <c r="A139" i="21"/>
  <c r="A133" i="21"/>
  <c r="A132" i="21"/>
  <c r="A138" i="21"/>
  <c r="A137" i="21"/>
  <c r="A131" i="21"/>
  <c r="B1" i="17"/>
  <c r="B1" i="18"/>
  <c r="B1" i="16"/>
  <c r="A153" i="21" l="1"/>
  <c r="A146" i="21"/>
  <c r="A145" i="21"/>
  <c r="A144" i="21"/>
  <c r="A74" i="2"/>
  <c r="A104" i="2"/>
  <c r="A73" i="2"/>
  <c r="A97" i="2"/>
  <c r="A72" i="2"/>
  <c r="A90" i="2"/>
  <c r="A71" i="2"/>
  <c r="A83" i="2"/>
  <c r="A70" i="2"/>
  <c r="A76" i="2"/>
  <c r="A159" i="21" l="1"/>
  <c r="A152" i="21"/>
  <c r="A151" i="21"/>
  <c r="A150" i="21"/>
  <c r="A165" i="21" l="1"/>
  <c r="A171" i="21"/>
  <c r="A158" i="21"/>
  <c r="A157" i="21"/>
  <c r="A156" i="21"/>
  <c r="A170" i="21" l="1"/>
  <c r="A164" i="21"/>
  <c r="A169" i="21"/>
  <c r="A163" i="21"/>
  <c r="A162" i="21"/>
  <c r="A168" i="21"/>
  <c r="D30" i="4" l="1"/>
  <c r="D164" i="16" s="1"/>
  <c r="D160" i="15" l="1"/>
  <c r="D160" i="17"/>
  <c r="D162" i="1"/>
  <c r="D162" i="18"/>
  <c r="D162" i="16"/>
  <c r="D161" i="15"/>
  <c r="D161" i="17"/>
  <c r="D163" i="1"/>
  <c r="D163" i="18"/>
  <c r="D163" i="16"/>
  <c r="D164" i="15"/>
  <c r="D164" i="17"/>
  <c r="D160" i="1"/>
  <c r="D160" i="18"/>
  <c r="D160" i="16"/>
  <c r="D162" i="15"/>
  <c r="D162" i="17"/>
  <c r="D161" i="1"/>
  <c r="D161" i="18"/>
  <c r="D161" i="16"/>
  <c r="D163" i="15"/>
  <c r="D163" i="17"/>
  <c r="D164" i="1"/>
  <c r="D164" i="18"/>
  <c r="F30" i="4"/>
  <c r="F160" i="17" s="1"/>
  <c r="H30" i="4"/>
  <c r="E30" i="4"/>
  <c r="E160" i="16" s="1"/>
  <c r="G30" i="4"/>
  <c r="E15" i="16" l="1"/>
  <c r="E92" i="16" s="1"/>
  <c r="E15" i="18"/>
  <c r="E92" i="18" s="1"/>
  <c r="E15" i="17"/>
  <c r="E92" i="17" s="1"/>
  <c r="E15" i="15"/>
  <c r="E15" i="1"/>
  <c r="E16" i="17"/>
  <c r="E93" i="17" s="1"/>
  <c r="E16" i="18"/>
  <c r="E93" i="18" s="1"/>
  <c r="E16" i="1"/>
  <c r="E93" i="1" s="1"/>
  <c r="E16" i="15"/>
  <c r="E93" i="15" s="1"/>
  <c r="E16" i="16"/>
  <c r="E93" i="16" s="1"/>
  <c r="E18" i="1"/>
  <c r="E95" i="1" s="1"/>
  <c r="E18" i="17"/>
  <c r="E95" i="17" s="1"/>
  <c r="E18" i="16"/>
  <c r="E95" i="16" s="1"/>
  <c r="E18" i="18"/>
  <c r="E95" i="18" s="1"/>
  <c r="E18" i="15"/>
  <c r="E95" i="15" s="1"/>
  <c r="E17" i="16"/>
  <c r="E94" i="16" s="1"/>
  <c r="E17" i="18"/>
  <c r="E94" i="18" s="1"/>
  <c r="E17" i="1"/>
  <c r="E94" i="1" s="1"/>
  <c r="E17" i="17"/>
  <c r="E94" i="17" s="1"/>
  <c r="E17" i="15"/>
  <c r="E94" i="15" s="1"/>
  <c r="E19" i="17"/>
  <c r="E96" i="17" s="1"/>
  <c r="E19" i="15"/>
  <c r="E96" i="15" s="1"/>
  <c r="E19" i="18"/>
  <c r="E96" i="18" s="1"/>
  <c r="E19" i="1"/>
  <c r="E96" i="1" s="1"/>
  <c r="E19" i="16"/>
  <c r="E96" i="16" s="1"/>
  <c r="G17" i="16"/>
  <c r="G94" i="16" s="1"/>
  <c r="G17" i="18"/>
  <c r="G94" i="18" s="1"/>
  <c r="G17" i="1"/>
  <c r="G94" i="1" s="1"/>
  <c r="G17" i="17"/>
  <c r="G94" i="17" s="1"/>
  <c r="G17" i="15"/>
  <c r="G94" i="15" s="1"/>
  <c r="G19" i="18"/>
  <c r="G96" i="18" s="1"/>
  <c r="G19" i="1"/>
  <c r="G96" i="1" s="1"/>
  <c r="G19" i="16"/>
  <c r="G96" i="16" s="1"/>
  <c r="G19" i="15"/>
  <c r="G96" i="15" s="1"/>
  <c r="G19" i="17"/>
  <c r="G96" i="17" s="1"/>
  <c r="G18" i="18"/>
  <c r="G95" i="18" s="1"/>
  <c r="G15" i="16"/>
  <c r="G92" i="16" s="1"/>
  <c r="G18" i="15"/>
  <c r="G95" i="15" s="1"/>
  <c r="G15" i="15"/>
  <c r="G18" i="16"/>
  <c r="G95" i="16" s="1"/>
  <c r="G15" i="18"/>
  <c r="G92" i="18" s="1"/>
  <c r="G16" i="17"/>
  <c r="G93" i="17" s="1"/>
  <c r="G15" i="17"/>
  <c r="G92" i="17" s="1"/>
  <c r="G16" i="15"/>
  <c r="G93" i="15" s="1"/>
  <c r="G15" i="1"/>
  <c r="G16" i="16"/>
  <c r="G93" i="16" s="1"/>
  <c r="G18" i="17"/>
  <c r="G95" i="17" s="1"/>
  <c r="G16" i="18"/>
  <c r="G93" i="18" s="1"/>
  <c r="G16" i="1"/>
  <c r="G93" i="1" s="1"/>
  <c r="G18" i="1"/>
  <c r="G95" i="1" s="1"/>
  <c r="H17" i="1"/>
  <c r="H94" i="1" s="1"/>
  <c r="H17" i="17"/>
  <c r="H94" i="17" s="1"/>
  <c r="H17" i="15"/>
  <c r="H94" i="15" s="1"/>
  <c r="H17" i="16"/>
  <c r="H94" i="16" s="1"/>
  <c r="H17" i="18"/>
  <c r="H94" i="18" s="1"/>
  <c r="H19" i="15"/>
  <c r="H96" i="15" s="1"/>
  <c r="H19" i="17"/>
  <c r="H96" i="17" s="1"/>
  <c r="H19" i="1"/>
  <c r="H96" i="1" s="1"/>
  <c r="H19" i="16"/>
  <c r="H96" i="16" s="1"/>
  <c r="H19" i="18"/>
  <c r="H96" i="18" s="1"/>
  <c r="H15" i="15"/>
  <c r="H15" i="18"/>
  <c r="H92" i="18" s="1"/>
  <c r="H18" i="18"/>
  <c r="H95" i="18" s="1"/>
  <c r="H18" i="16"/>
  <c r="H95" i="16" s="1"/>
  <c r="H18" i="15"/>
  <c r="H95" i="15" s="1"/>
  <c r="H15" i="16"/>
  <c r="H92" i="16" s="1"/>
  <c r="H15" i="17"/>
  <c r="H92" i="17" s="1"/>
  <c r="H18" i="1"/>
  <c r="H95" i="1" s="1"/>
  <c r="H16" i="18"/>
  <c r="H93" i="18" s="1"/>
  <c r="H15" i="1"/>
  <c r="H16" i="15"/>
  <c r="H93" i="15" s="1"/>
  <c r="H18" i="17"/>
  <c r="H95" i="17" s="1"/>
  <c r="H16" i="16"/>
  <c r="H93" i="16" s="1"/>
  <c r="H16" i="17"/>
  <c r="H93" i="17" s="1"/>
  <c r="H16" i="1"/>
  <c r="H93" i="1" s="1"/>
  <c r="G164" i="17"/>
  <c r="G164" i="15"/>
  <c r="G163" i="17"/>
  <c r="G163" i="15"/>
  <c r="G162" i="17"/>
  <c r="G162" i="15"/>
  <c r="G161" i="17"/>
  <c r="G161" i="15"/>
  <c r="G164" i="16"/>
  <c r="G164" i="18"/>
  <c r="G164" i="1"/>
  <c r="G163" i="16"/>
  <c r="G163" i="18"/>
  <c r="G163" i="1"/>
  <c r="G162" i="16"/>
  <c r="G162" i="18"/>
  <c r="G162" i="1"/>
  <c r="G161" i="16"/>
  <c r="G161" i="18"/>
  <c r="G161" i="1"/>
  <c r="H164" i="17"/>
  <c r="H164" i="15"/>
  <c r="H163" i="17"/>
  <c r="H163" i="15"/>
  <c r="H162" i="17"/>
  <c r="H162" i="15"/>
  <c r="H161" i="17"/>
  <c r="H161" i="15"/>
  <c r="H164" i="16"/>
  <c r="H164" i="18"/>
  <c r="H164" i="1"/>
  <c r="H163" i="16"/>
  <c r="H163" i="18"/>
  <c r="H163" i="1"/>
  <c r="H162" i="16"/>
  <c r="H162" i="18"/>
  <c r="H162" i="1"/>
  <c r="H161" i="16"/>
  <c r="H161" i="18"/>
  <c r="H161" i="1"/>
  <c r="E160" i="1"/>
  <c r="E160" i="18"/>
  <c r="H160" i="15"/>
  <c r="H160" i="17"/>
  <c r="G160" i="1"/>
  <c r="G160" i="18"/>
  <c r="G160" i="16"/>
  <c r="F160" i="15"/>
  <c r="F19" i="16"/>
  <c r="F96" i="16" s="1"/>
  <c r="F19" i="18"/>
  <c r="F96" i="18" s="1"/>
  <c r="F19" i="17"/>
  <c r="F96" i="17" s="1"/>
  <c r="F19" i="1"/>
  <c r="F96" i="1" s="1"/>
  <c r="F19" i="15"/>
  <c r="F96" i="15" s="1"/>
  <c r="F15" i="15"/>
  <c r="F17" i="16"/>
  <c r="F94" i="16" s="1"/>
  <c r="F17" i="18"/>
  <c r="F94" i="18" s="1"/>
  <c r="F18" i="18"/>
  <c r="F95" i="18" s="1"/>
  <c r="F15" i="16"/>
  <c r="F92" i="16" s="1"/>
  <c r="F18" i="16"/>
  <c r="F95" i="16" s="1"/>
  <c r="F18" i="15"/>
  <c r="F95" i="15" s="1"/>
  <c r="F17" i="1"/>
  <c r="F94" i="1" s="1"/>
  <c r="F17" i="17"/>
  <c r="F94" i="17" s="1"/>
  <c r="F17" i="15"/>
  <c r="F94" i="15" s="1"/>
  <c r="F16" i="15"/>
  <c r="F93" i="15" s="1"/>
  <c r="F18" i="1"/>
  <c r="F95" i="1" s="1"/>
  <c r="F16" i="17"/>
  <c r="F93" i="17" s="1"/>
  <c r="F15" i="17"/>
  <c r="F92" i="17" s="1"/>
  <c r="F16" i="16"/>
  <c r="F93" i="16" s="1"/>
  <c r="F18" i="17"/>
  <c r="F95" i="17" s="1"/>
  <c r="F16" i="1"/>
  <c r="F93" i="1" s="1"/>
  <c r="F15" i="1"/>
  <c r="F16" i="18"/>
  <c r="F93" i="18" s="1"/>
  <c r="F15" i="18"/>
  <c r="F92" i="18" s="1"/>
  <c r="D10" i="16"/>
  <c r="D87" i="16" s="1"/>
  <c r="D9" i="16"/>
  <c r="D86" i="16" s="1"/>
  <c r="D14" i="16"/>
  <c r="D91" i="16" s="1"/>
  <c r="D14" i="17"/>
  <c r="D91" i="17" s="1"/>
  <c r="D14" i="18"/>
  <c r="D91" i="18" s="1"/>
  <c r="D10" i="17"/>
  <c r="D87" i="17" s="1"/>
  <c r="D9" i="17"/>
  <c r="D86" i="17" s="1"/>
  <c r="D10" i="18"/>
  <c r="D87" i="18" s="1"/>
  <c r="D9" i="18"/>
  <c r="D86" i="18" s="1"/>
  <c r="D10" i="15"/>
  <c r="D87" i="15" s="1"/>
  <c r="D9" i="15"/>
  <c r="D86" i="15" s="1"/>
  <c r="D10" i="1"/>
  <c r="D87" i="1" s="1"/>
  <c r="D14" i="15"/>
  <c r="D91" i="15" s="1"/>
  <c r="D14" i="1"/>
  <c r="D91" i="1" s="1"/>
  <c r="D9" i="1"/>
  <c r="D86" i="1" s="1"/>
  <c r="D15" i="15"/>
  <c r="D15" i="1"/>
  <c r="D15" i="18"/>
  <c r="D92" i="18" s="1"/>
  <c r="D15" i="16"/>
  <c r="D92" i="16" s="1"/>
  <c r="D15" i="17"/>
  <c r="D92" i="17" s="1"/>
  <c r="D16" i="17"/>
  <c r="D93" i="17" s="1"/>
  <c r="D16" i="18"/>
  <c r="D93" i="18" s="1"/>
  <c r="D16" i="15"/>
  <c r="D93" i="15" s="1"/>
  <c r="D16" i="16"/>
  <c r="D93" i="16" s="1"/>
  <c r="D16" i="1"/>
  <c r="D93" i="1" s="1"/>
  <c r="D18" i="16"/>
  <c r="D95" i="16" s="1"/>
  <c r="D18" i="18"/>
  <c r="D95" i="18" s="1"/>
  <c r="D18" i="17"/>
  <c r="D95" i="17" s="1"/>
  <c r="D18" i="15"/>
  <c r="D95" i="15" s="1"/>
  <c r="D18" i="1"/>
  <c r="D95" i="1" s="1"/>
  <c r="D17" i="16"/>
  <c r="D94" i="16" s="1"/>
  <c r="D17" i="18"/>
  <c r="D94" i="18" s="1"/>
  <c r="D17" i="1"/>
  <c r="D94" i="1" s="1"/>
  <c r="D17" i="17"/>
  <c r="D94" i="17" s="1"/>
  <c r="D17" i="15"/>
  <c r="D94" i="15" s="1"/>
  <c r="D19" i="18"/>
  <c r="D96" i="18" s="1"/>
  <c r="D19" i="15"/>
  <c r="D96" i="15" s="1"/>
  <c r="D19" i="17"/>
  <c r="D96" i="17" s="1"/>
  <c r="D19" i="16"/>
  <c r="D96" i="16" s="1"/>
  <c r="D19" i="1"/>
  <c r="D96" i="1" s="1"/>
  <c r="E164" i="16"/>
  <c r="E164" i="18"/>
  <c r="E164" i="1"/>
  <c r="E163" i="16"/>
  <c r="E163" i="18"/>
  <c r="E163" i="1"/>
  <c r="E162" i="16"/>
  <c r="E162" i="18"/>
  <c r="E162" i="1"/>
  <c r="E161" i="16"/>
  <c r="E161" i="18"/>
  <c r="E161" i="1"/>
  <c r="E164" i="17"/>
  <c r="E164" i="15"/>
  <c r="E163" i="17"/>
  <c r="E163" i="15"/>
  <c r="E162" i="17"/>
  <c r="E162" i="15"/>
  <c r="E161" i="17"/>
  <c r="E161" i="15"/>
  <c r="F164" i="16"/>
  <c r="F164" i="18"/>
  <c r="F164" i="1"/>
  <c r="F163" i="16"/>
  <c r="F163" i="18"/>
  <c r="F163" i="1"/>
  <c r="F162" i="16"/>
  <c r="F162" i="18"/>
  <c r="F162" i="1"/>
  <c r="F161" i="16"/>
  <c r="F161" i="18"/>
  <c r="F161" i="1"/>
  <c r="F164" i="17"/>
  <c r="F164" i="15"/>
  <c r="F163" i="17"/>
  <c r="F163" i="15"/>
  <c r="F162" i="17"/>
  <c r="F162" i="15"/>
  <c r="F161" i="17"/>
  <c r="F161" i="15"/>
  <c r="E160" i="15"/>
  <c r="E160" i="17"/>
  <c r="H160" i="1"/>
  <c r="H160" i="18"/>
  <c r="H160" i="16"/>
  <c r="G160" i="15"/>
  <c r="G160" i="17"/>
  <c r="F160" i="1"/>
  <c r="F160" i="18"/>
  <c r="F160" i="16"/>
  <c r="E11" i="5"/>
  <c r="E12" i="5"/>
  <c r="F12" i="15" l="1"/>
  <c r="H12" i="15"/>
  <c r="G12" i="15"/>
  <c r="D12" i="15"/>
  <c r="H12" i="1"/>
  <c r="E12" i="15"/>
  <c r="D92" i="1"/>
  <c r="F92" i="15"/>
  <c r="H92" i="15"/>
  <c r="G92" i="1"/>
  <c r="G92" i="15"/>
  <c r="E92" i="1"/>
  <c r="D92" i="15"/>
  <c r="F92" i="1"/>
  <c r="H92" i="1"/>
  <c r="E92" i="15"/>
  <c r="D12" i="1"/>
  <c r="H32" i="1"/>
  <c r="H109" i="1" s="1"/>
  <c r="H32" i="17"/>
  <c r="H109" i="17" s="1"/>
  <c r="H32" i="15"/>
  <c r="H109" i="15" s="1"/>
  <c r="H32" i="16"/>
  <c r="H109" i="16" s="1"/>
  <c r="H32" i="18"/>
  <c r="H109" i="18" s="1"/>
  <c r="H34" i="18"/>
  <c r="H111" i="18" s="1"/>
  <c r="H34" i="16"/>
  <c r="H111" i="16" s="1"/>
  <c r="H34" i="15"/>
  <c r="H111" i="15" s="1"/>
  <c r="H34" i="17"/>
  <c r="H111" i="17" s="1"/>
  <c r="H34" i="1"/>
  <c r="H111" i="1" s="1"/>
  <c r="H30" i="15"/>
  <c r="H107" i="15" s="1"/>
  <c r="H30" i="18"/>
  <c r="H107" i="18" s="1"/>
  <c r="H33" i="15"/>
  <c r="H110" i="15" s="1"/>
  <c r="H30" i="16"/>
  <c r="H107" i="16" s="1"/>
  <c r="H33" i="18"/>
  <c r="H110" i="18" s="1"/>
  <c r="H33" i="16"/>
  <c r="H110" i="16" s="1"/>
  <c r="H31" i="15"/>
  <c r="H108" i="15" s="1"/>
  <c r="H31" i="18"/>
  <c r="H108" i="18" s="1"/>
  <c r="H30" i="17"/>
  <c r="H107" i="17" s="1"/>
  <c r="H31" i="17"/>
  <c r="H108" i="17" s="1"/>
  <c r="H33" i="1"/>
  <c r="H110" i="1" s="1"/>
  <c r="H31" i="1"/>
  <c r="H108" i="1" s="1"/>
  <c r="H31" i="16"/>
  <c r="H108" i="16" s="1"/>
  <c r="H33" i="17"/>
  <c r="H110" i="17" s="1"/>
  <c r="H30" i="1"/>
  <c r="H107" i="1" s="1"/>
  <c r="G47" i="16"/>
  <c r="G124" i="16" s="1"/>
  <c r="G47" i="18"/>
  <c r="G124" i="18" s="1"/>
  <c r="G47" i="1"/>
  <c r="G124" i="1" s="1"/>
  <c r="G47" i="17"/>
  <c r="G124" i="17" s="1"/>
  <c r="G47" i="15"/>
  <c r="G124" i="15" s="1"/>
  <c r="G49" i="16"/>
  <c r="G126" i="16" s="1"/>
  <c r="G49" i="15"/>
  <c r="G126" i="15" s="1"/>
  <c r="G49" i="18"/>
  <c r="G126" i="18" s="1"/>
  <c r="G49" i="17"/>
  <c r="G126" i="17" s="1"/>
  <c r="G49" i="1"/>
  <c r="G126" i="1" s="1"/>
  <c r="G48" i="15"/>
  <c r="G125" i="15" s="1"/>
  <c r="G48" i="18"/>
  <c r="G125" i="18" s="1"/>
  <c r="G45" i="18"/>
  <c r="G122" i="18" s="1"/>
  <c r="G45" i="15"/>
  <c r="G122" i="15" s="1"/>
  <c r="G48" i="16"/>
  <c r="G125" i="16" s="1"/>
  <c r="G45" i="16"/>
  <c r="G122" i="16" s="1"/>
  <c r="G46" i="15"/>
  <c r="G123" i="15" s="1"/>
  <c r="G48" i="17"/>
  <c r="G125" i="17" s="1"/>
  <c r="G45" i="17"/>
  <c r="G122" i="17" s="1"/>
  <c r="G46" i="18"/>
  <c r="G123" i="18" s="1"/>
  <c r="G48" i="1"/>
  <c r="G125" i="1" s="1"/>
  <c r="G45" i="1"/>
  <c r="G122" i="1" s="1"/>
  <c r="G46" i="17"/>
  <c r="G123" i="17" s="1"/>
  <c r="G46" i="16"/>
  <c r="G123" i="16" s="1"/>
  <c r="G46" i="1"/>
  <c r="G123" i="1" s="1"/>
  <c r="D55" i="16"/>
  <c r="D132" i="16" s="1"/>
  <c r="D54" i="16"/>
  <c r="D131" i="16" s="1"/>
  <c r="D55" i="17"/>
  <c r="D132" i="17" s="1"/>
  <c r="D54" i="17"/>
  <c r="D131" i="17" s="1"/>
  <c r="D59" i="16"/>
  <c r="D136" i="16" s="1"/>
  <c r="D59" i="17"/>
  <c r="D136" i="17" s="1"/>
  <c r="D59" i="18"/>
  <c r="D136" i="18" s="1"/>
  <c r="D59" i="15"/>
  <c r="D136" i="15" s="1"/>
  <c r="D55" i="18"/>
  <c r="D132" i="18" s="1"/>
  <c r="D54" i="18"/>
  <c r="D131" i="18" s="1"/>
  <c r="D55" i="15"/>
  <c r="D132" i="15" s="1"/>
  <c r="D55" i="1"/>
  <c r="D132" i="1" s="1"/>
  <c r="D54" i="1"/>
  <c r="D131" i="1" s="1"/>
  <c r="D54" i="15"/>
  <c r="D131" i="15" s="1"/>
  <c r="D136" i="1"/>
  <c r="D60" i="15"/>
  <c r="D137" i="15" s="1"/>
  <c r="D60" i="1"/>
  <c r="D137" i="1" s="1"/>
  <c r="D60" i="18"/>
  <c r="D137" i="18" s="1"/>
  <c r="D60" i="16"/>
  <c r="D137" i="16" s="1"/>
  <c r="D60" i="17"/>
  <c r="D137" i="17" s="1"/>
  <c r="D61" i="1"/>
  <c r="D138" i="1" s="1"/>
  <c r="D61" i="18"/>
  <c r="D138" i="18" s="1"/>
  <c r="D61" i="15"/>
  <c r="D138" i="15" s="1"/>
  <c r="D61" i="16"/>
  <c r="D138" i="16" s="1"/>
  <c r="D61" i="17"/>
  <c r="D138" i="17" s="1"/>
  <c r="D63" i="18"/>
  <c r="D140" i="18" s="1"/>
  <c r="D63" i="16"/>
  <c r="D140" i="16" s="1"/>
  <c r="D63" i="17"/>
  <c r="D140" i="17" s="1"/>
  <c r="D63" i="15"/>
  <c r="D140" i="15" s="1"/>
  <c r="D63" i="1"/>
  <c r="D140" i="1" s="1"/>
  <c r="D62" i="1"/>
  <c r="D139" i="1" s="1"/>
  <c r="D62" i="17"/>
  <c r="D139" i="17" s="1"/>
  <c r="D62" i="15"/>
  <c r="D139" i="15" s="1"/>
  <c r="D62" i="16"/>
  <c r="D139" i="16" s="1"/>
  <c r="D62" i="18"/>
  <c r="D139" i="18" s="1"/>
  <c r="D64" i="15"/>
  <c r="D141" i="15" s="1"/>
  <c r="D64" i="16"/>
  <c r="D141" i="16" s="1"/>
  <c r="D64" i="18"/>
  <c r="D141" i="18" s="1"/>
  <c r="D141" i="1"/>
  <c r="D64" i="17"/>
  <c r="D141" i="17" s="1"/>
  <c r="F49" i="16"/>
  <c r="F126" i="16" s="1"/>
  <c r="F49" i="17"/>
  <c r="F126" i="17" s="1"/>
  <c r="F49" i="15"/>
  <c r="F126" i="15" s="1"/>
  <c r="F49" i="18"/>
  <c r="F126" i="18" s="1"/>
  <c r="F49" i="1"/>
  <c r="F126" i="1" s="1"/>
  <c r="F48" i="16"/>
  <c r="F125" i="16" s="1"/>
  <c r="F48" i="18"/>
  <c r="F125" i="18" s="1"/>
  <c r="F48" i="15"/>
  <c r="F125" i="15" s="1"/>
  <c r="F45" i="16"/>
  <c r="F122" i="16" s="1"/>
  <c r="F45" i="18"/>
  <c r="F122" i="18" s="1"/>
  <c r="F47" i="1"/>
  <c r="F124" i="1" s="1"/>
  <c r="F47" i="17"/>
  <c r="F124" i="17" s="1"/>
  <c r="F47" i="15"/>
  <c r="F124" i="15" s="1"/>
  <c r="F45" i="15"/>
  <c r="F122" i="15" s="1"/>
  <c r="F47" i="16"/>
  <c r="F124" i="16" s="1"/>
  <c r="F47" i="18"/>
  <c r="F124" i="18" s="1"/>
  <c r="F46" i="16"/>
  <c r="F123" i="16" s="1"/>
  <c r="F46" i="15"/>
  <c r="F123" i="15" s="1"/>
  <c r="F45" i="1"/>
  <c r="F122" i="1" s="1"/>
  <c r="F46" i="18"/>
  <c r="F123" i="18" s="1"/>
  <c r="F46" i="1"/>
  <c r="F123" i="1" s="1"/>
  <c r="F48" i="1"/>
  <c r="F125" i="1" s="1"/>
  <c r="F46" i="17"/>
  <c r="F123" i="17" s="1"/>
  <c r="F48" i="17"/>
  <c r="F125" i="17" s="1"/>
  <c r="F45" i="17"/>
  <c r="F122" i="17" s="1"/>
  <c r="H47" i="1"/>
  <c r="H124" i="1" s="1"/>
  <c r="H47" i="17"/>
  <c r="H124" i="17" s="1"/>
  <c r="H47" i="15"/>
  <c r="H124" i="15" s="1"/>
  <c r="H47" i="16"/>
  <c r="H124" i="16" s="1"/>
  <c r="H47" i="18"/>
  <c r="H124" i="18" s="1"/>
  <c r="H49" i="1"/>
  <c r="H126" i="1" s="1"/>
  <c r="H49" i="17"/>
  <c r="H126" i="17" s="1"/>
  <c r="H49" i="18"/>
  <c r="H126" i="18" s="1"/>
  <c r="H49" i="16"/>
  <c r="H126" i="16" s="1"/>
  <c r="H49" i="15"/>
  <c r="H126" i="15" s="1"/>
  <c r="H45" i="16"/>
  <c r="H122" i="16" s="1"/>
  <c r="H48" i="15"/>
  <c r="H125" i="15" s="1"/>
  <c r="H45" i="15"/>
  <c r="H122" i="15" s="1"/>
  <c r="H45" i="18"/>
  <c r="H122" i="18" s="1"/>
  <c r="H48" i="18"/>
  <c r="H125" i="18" s="1"/>
  <c r="H48" i="16"/>
  <c r="H125" i="16" s="1"/>
  <c r="H46" i="16"/>
  <c r="H123" i="16" s="1"/>
  <c r="H46" i="1"/>
  <c r="H123" i="1" s="1"/>
  <c r="H48" i="1"/>
  <c r="H125" i="1" s="1"/>
  <c r="H46" i="15"/>
  <c r="H123" i="15" s="1"/>
  <c r="H48" i="17"/>
  <c r="H125" i="17" s="1"/>
  <c r="H45" i="17"/>
  <c r="H122" i="17" s="1"/>
  <c r="H46" i="18"/>
  <c r="H123" i="18" s="1"/>
  <c r="H46" i="17"/>
  <c r="H123" i="17" s="1"/>
  <c r="H45" i="1"/>
  <c r="H122" i="1" s="1"/>
  <c r="H77" i="1"/>
  <c r="H154" i="1" s="1"/>
  <c r="H77" i="17"/>
  <c r="H154" i="17" s="1"/>
  <c r="H77" i="15"/>
  <c r="H154" i="15" s="1"/>
  <c r="H77" i="16"/>
  <c r="H154" i="16" s="1"/>
  <c r="H77" i="18"/>
  <c r="H154" i="18" s="1"/>
  <c r="H79" i="15"/>
  <c r="H156" i="15" s="1"/>
  <c r="H79" i="1"/>
  <c r="H156" i="1" s="1"/>
  <c r="H79" i="16"/>
  <c r="H156" i="16" s="1"/>
  <c r="H79" i="18"/>
  <c r="H156" i="18" s="1"/>
  <c r="H79" i="17"/>
  <c r="H156" i="17" s="1"/>
  <c r="H75" i="18"/>
  <c r="H152" i="18" s="1"/>
  <c r="H78" i="16"/>
  <c r="H155" i="16" s="1"/>
  <c r="H76" i="16"/>
  <c r="H153" i="16" s="1"/>
  <c r="H78" i="18"/>
  <c r="H155" i="18" s="1"/>
  <c r="H75" i="15"/>
  <c r="H152" i="15" s="1"/>
  <c r="H78" i="15"/>
  <c r="H155" i="15" s="1"/>
  <c r="H75" i="16"/>
  <c r="H152" i="16" s="1"/>
  <c r="H76" i="1"/>
  <c r="H153" i="1" s="1"/>
  <c r="H78" i="1"/>
  <c r="H155" i="1" s="1"/>
  <c r="H76" i="15"/>
  <c r="H153" i="15" s="1"/>
  <c r="H78" i="17"/>
  <c r="H155" i="17" s="1"/>
  <c r="H75" i="1"/>
  <c r="H152" i="1" s="1"/>
  <c r="H76" i="18"/>
  <c r="H153" i="18" s="1"/>
  <c r="H75" i="17"/>
  <c r="H152" i="17" s="1"/>
  <c r="H76" i="17"/>
  <c r="H153" i="17" s="1"/>
  <c r="G77" i="16"/>
  <c r="G154" i="16" s="1"/>
  <c r="G77" i="18"/>
  <c r="G154" i="18" s="1"/>
  <c r="G77" i="1"/>
  <c r="G154" i="1" s="1"/>
  <c r="G77" i="17"/>
  <c r="G154" i="17" s="1"/>
  <c r="G77" i="15"/>
  <c r="G154" i="15" s="1"/>
  <c r="G79" i="18"/>
  <c r="G156" i="18" s="1"/>
  <c r="G79" i="15"/>
  <c r="G156" i="15" s="1"/>
  <c r="G79" i="16"/>
  <c r="G156" i="16" s="1"/>
  <c r="G79" i="17"/>
  <c r="G156" i="17" s="1"/>
  <c r="G79" i="1"/>
  <c r="G156" i="1" s="1"/>
  <c r="G78" i="18"/>
  <c r="G155" i="18" s="1"/>
  <c r="G76" i="16"/>
  <c r="G153" i="16" s="1"/>
  <c r="G75" i="16"/>
  <c r="G152" i="16" s="1"/>
  <c r="G78" i="15"/>
  <c r="G155" i="15" s="1"/>
  <c r="G75" i="15"/>
  <c r="G152" i="15" s="1"/>
  <c r="G78" i="16"/>
  <c r="G155" i="16" s="1"/>
  <c r="G75" i="18"/>
  <c r="G152" i="18" s="1"/>
  <c r="G75" i="1"/>
  <c r="G152" i="1" s="1"/>
  <c r="G76" i="15"/>
  <c r="G153" i="15" s="1"/>
  <c r="G76" i="18"/>
  <c r="G153" i="18" s="1"/>
  <c r="G76" i="1"/>
  <c r="G153" i="1" s="1"/>
  <c r="G78" i="17"/>
  <c r="G155" i="17" s="1"/>
  <c r="G75" i="17"/>
  <c r="G152" i="17" s="1"/>
  <c r="G76" i="17"/>
  <c r="G153" i="17" s="1"/>
  <c r="G78" i="1"/>
  <c r="G155" i="1" s="1"/>
  <c r="G62" i="16"/>
  <c r="G139" i="16" s="1"/>
  <c r="G62" i="18"/>
  <c r="G139" i="18" s="1"/>
  <c r="G62" i="1"/>
  <c r="G139" i="1" s="1"/>
  <c r="G62" i="17"/>
  <c r="G139" i="17" s="1"/>
  <c r="G62" i="15"/>
  <c r="G139" i="15" s="1"/>
  <c r="G64" i="18"/>
  <c r="G141" i="18" s="1"/>
  <c r="G64" i="1"/>
  <c r="G141" i="1" s="1"/>
  <c r="G64" i="17"/>
  <c r="G141" i="17" s="1"/>
  <c r="G64" i="16"/>
  <c r="G141" i="16" s="1"/>
  <c r="G64" i="15"/>
  <c r="G141" i="15" s="1"/>
  <c r="G60" i="15"/>
  <c r="G137" i="15" s="1"/>
  <c r="G60" i="16"/>
  <c r="G137" i="16" s="1"/>
  <c r="G63" i="15"/>
  <c r="G140" i="15" s="1"/>
  <c r="G63" i="16"/>
  <c r="G140" i="16" s="1"/>
  <c r="G60" i="18"/>
  <c r="G137" i="18" s="1"/>
  <c r="G63" i="18"/>
  <c r="G140" i="18" s="1"/>
  <c r="G61" i="16"/>
  <c r="G138" i="16" s="1"/>
  <c r="G61" i="18"/>
  <c r="G138" i="18" s="1"/>
  <c r="G61" i="1"/>
  <c r="G138" i="1" s="1"/>
  <c r="G60" i="17"/>
  <c r="G137" i="17" s="1"/>
  <c r="G61" i="15"/>
  <c r="G138" i="15" s="1"/>
  <c r="G63" i="17"/>
  <c r="G140" i="17" s="1"/>
  <c r="G60" i="1"/>
  <c r="G137" i="1" s="1"/>
  <c r="G61" i="17"/>
  <c r="G138" i="17" s="1"/>
  <c r="G63" i="1"/>
  <c r="G140" i="1" s="1"/>
  <c r="E30" i="16"/>
  <c r="E107" i="16" s="1"/>
  <c r="E30" i="18"/>
  <c r="E107" i="18" s="1"/>
  <c r="E30" i="17"/>
  <c r="E107" i="17" s="1"/>
  <c r="E30" i="1"/>
  <c r="E107" i="1" s="1"/>
  <c r="E30" i="15"/>
  <c r="E107" i="15" s="1"/>
  <c r="E31" i="1"/>
  <c r="E108" i="1" s="1"/>
  <c r="E31" i="17"/>
  <c r="E108" i="17" s="1"/>
  <c r="E31" i="16"/>
  <c r="E108" i="16" s="1"/>
  <c r="E31" i="18"/>
  <c r="E108" i="18" s="1"/>
  <c r="E31" i="15"/>
  <c r="E108" i="15" s="1"/>
  <c r="E33" i="17"/>
  <c r="E110" i="17" s="1"/>
  <c r="E33" i="15"/>
  <c r="E110" i="15" s="1"/>
  <c r="E33" i="18"/>
  <c r="E110" i="18" s="1"/>
  <c r="E33" i="16"/>
  <c r="E110" i="16" s="1"/>
  <c r="E33" i="1"/>
  <c r="E110" i="1" s="1"/>
  <c r="E32" i="1"/>
  <c r="E109" i="1" s="1"/>
  <c r="E32" i="17"/>
  <c r="E109" i="17" s="1"/>
  <c r="E32" i="15"/>
  <c r="E109" i="15" s="1"/>
  <c r="E32" i="16"/>
  <c r="E109" i="16" s="1"/>
  <c r="E32" i="18"/>
  <c r="E109" i="18" s="1"/>
  <c r="E34" i="17"/>
  <c r="E111" i="17" s="1"/>
  <c r="E34" i="1"/>
  <c r="E111" i="1" s="1"/>
  <c r="E34" i="16"/>
  <c r="E111" i="16" s="1"/>
  <c r="E34" i="18"/>
  <c r="E111" i="18" s="1"/>
  <c r="E34" i="15"/>
  <c r="E111" i="15" s="1"/>
  <c r="E60" i="16"/>
  <c r="E137" i="16" s="1"/>
  <c r="E60" i="18"/>
  <c r="E137" i="18" s="1"/>
  <c r="E60" i="17"/>
  <c r="E137" i="17" s="1"/>
  <c r="E60" i="15"/>
  <c r="E137" i="15" s="1"/>
  <c r="E60" i="1"/>
  <c r="E137" i="1" s="1"/>
  <c r="E61" i="15"/>
  <c r="E138" i="15" s="1"/>
  <c r="E61" i="18"/>
  <c r="E138" i="18" s="1"/>
  <c r="E61" i="17"/>
  <c r="E138" i="17" s="1"/>
  <c r="E61" i="16"/>
  <c r="E138" i="16" s="1"/>
  <c r="E61" i="1"/>
  <c r="E138" i="1" s="1"/>
  <c r="E63" i="18"/>
  <c r="E140" i="18" s="1"/>
  <c r="E63" i="17"/>
  <c r="E140" i="17" s="1"/>
  <c r="E63" i="16"/>
  <c r="E140" i="16" s="1"/>
  <c r="E63" i="15"/>
  <c r="E140" i="15" s="1"/>
  <c r="E63" i="1"/>
  <c r="E140" i="1" s="1"/>
  <c r="E62" i="16"/>
  <c r="E139" i="16" s="1"/>
  <c r="E62" i="18"/>
  <c r="E139" i="18" s="1"/>
  <c r="E62" i="1"/>
  <c r="E139" i="1" s="1"/>
  <c r="E62" i="17"/>
  <c r="E139" i="17" s="1"/>
  <c r="E62" i="15"/>
  <c r="E139" i="15" s="1"/>
  <c r="E64" i="1"/>
  <c r="E141" i="1" s="1"/>
  <c r="E64" i="16"/>
  <c r="E141" i="16" s="1"/>
  <c r="E64" i="15"/>
  <c r="E141" i="15" s="1"/>
  <c r="E64" i="17"/>
  <c r="E141" i="17" s="1"/>
  <c r="E64" i="18"/>
  <c r="E141" i="18" s="1"/>
  <c r="D40" i="16"/>
  <c r="D117" i="16" s="1"/>
  <c r="D39" i="16"/>
  <c r="D116" i="16" s="1"/>
  <c r="D40" i="17"/>
  <c r="D117" i="17" s="1"/>
  <c r="D39" i="17"/>
  <c r="D116" i="17" s="1"/>
  <c r="D44" i="16"/>
  <c r="D121" i="16" s="1"/>
  <c r="D44" i="17"/>
  <c r="D121" i="17" s="1"/>
  <c r="D44" i="18"/>
  <c r="D121" i="18" s="1"/>
  <c r="D40" i="18"/>
  <c r="D117" i="18" s="1"/>
  <c r="D39" i="18"/>
  <c r="D116" i="18" s="1"/>
  <c r="D40" i="15"/>
  <c r="D117" i="15" s="1"/>
  <c r="D39" i="15"/>
  <c r="D116" i="15" s="1"/>
  <c r="D40" i="1"/>
  <c r="D117" i="1" s="1"/>
  <c r="D39" i="1"/>
  <c r="D116" i="1" s="1"/>
  <c r="D44" i="15"/>
  <c r="D121" i="15" s="1"/>
  <c r="D44" i="1"/>
  <c r="D121" i="1" s="1"/>
  <c r="D45" i="15"/>
  <c r="D122" i="15" s="1"/>
  <c r="D45" i="1"/>
  <c r="D122" i="1" s="1"/>
  <c r="D45" i="18"/>
  <c r="D122" i="18" s="1"/>
  <c r="D45" i="16"/>
  <c r="D122" i="16" s="1"/>
  <c r="D45" i="17"/>
  <c r="D122" i="17" s="1"/>
  <c r="D46" i="16"/>
  <c r="D123" i="16" s="1"/>
  <c r="D46" i="17"/>
  <c r="D123" i="17" s="1"/>
  <c r="D46" i="1"/>
  <c r="D123" i="1" s="1"/>
  <c r="D46" i="18"/>
  <c r="D123" i="18" s="1"/>
  <c r="D46" i="15"/>
  <c r="D123" i="15" s="1"/>
  <c r="D48" i="16"/>
  <c r="D125" i="16" s="1"/>
  <c r="D48" i="15"/>
  <c r="D125" i="15" s="1"/>
  <c r="D48" i="18"/>
  <c r="D125" i="18" s="1"/>
  <c r="D48" i="17"/>
  <c r="D125" i="17" s="1"/>
  <c r="D48" i="1"/>
  <c r="D125" i="1" s="1"/>
  <c r="D47" i="1"/>
  <c r="D124" i="1" s="1"/>
  <c r="D47" i="17"/>
  <c r="D124" i="17" s="1"/>
  <c r="D47" i="15"/>
  <c r="D124" i="15" s="1"/>
  <c r="D47" i="16"/>
  <c r="D124" i="16" s="1"/>
  <c r="D47" i="18"/>
  <c r="D124" i="18" s="1"/>
  <c r="D49" i="1"/>
  <c r="D126" i="1" s="1"/>
  <c r="D49" i="16"/>
  <c r="D126" i="16" s="1"/>
  <c r="D49" i="18"/>
  <c r="D126" i="18" s="1"/>
  <c r="D49" i="17"/>
  <c r="D126" i="17" s="1"/>
  <c r="D49" i="15"/>
  <c r="D126" i="15" s="1"/>
  <c r="D70" i="16"/>
  <c r="D147" i="16" s="1"/>
  <c r="D69" i="16"/>
  <c r="D146" i="16" s="1"/>
  <c r="D70" i="17"/>
  <c r="D147" i="17" s="1"/>
  <c r="D69" i="17"/>
  <c r="D146" i="17" s="1"/>
  <c r="D74" i="16"/>
  <c r="D151" i="16" s="1"/>
  <c r="D74" i="17"/>
  <c r="D151" i="17" s="1"/>
  <c r="D74" i="18"/>
  <c r="D151" i="18" s="1"/>
  <c r="D74" i="15"/>
  <c r="D151" i="15" s="1"/>
  <c r="D70" i="18"/>
  <c r="D147" i="18" s="1"/>
  <c r="D69" i="18"/>
  <c r="D146" i="18" s="1"/>
  <c r="D70" i="15"/>
  <c r="D147" i="15" s="1"/>
  <c r="D69" i="15"/>
  <c r="D146" i="15" s="1"/>
  <c r="D70" i="1"/>
  <c r="D147" i="1" s="1"/>
  <c r="D69" i="1"/>
  <c r="D146" i="1" s="1"/>
  <c r="D74" i="1"/>
  <c r="D151" i="1" s="1"/>
  <c r="D75" i="15"/>
  <c r="D152" i="15" s="1"/>
  <c r="D75" i="16"/>
  <c r="D152" i="16" s="1"/>
  <c r="D75" i="18"/>
  <c r="D152" i="18" s="1"/>
  <c r="D75" i="17"/>
  <c r="D152" i="17" s="1"/>
  <c r="D75" i="1"/>
  <c r="D152" i="1" s="1"/>
  <c r="D76" i="18"/>
  <c r="D153" i="18" s="1"/>
  <c r="D76" i="17"/>
  <c r="D153" i="17" s="1"/>
  <c r="D76" i="1"/>
  <c r="D153" i="1" s="1"/>
  <c r="D76" i="16"/>
  <c r="D153" i="16" s="1"/>
  <c r="D76" i="15"/>
  <c r="D153" i="15" s="1"/>
  <c r="D78" i="16"/>
  <c r="D155" i="16" s="1"/>
  <c r="D78" i="18"/>
  <c r="D155" i="18" s="1"/>
  <c r="D78" i="15"/>
  <c r="D155" i="15" s="1"/>
  <c r="D77" i="1"/>
  <c r="D154" i="1" s="1"/>
  <c r="D77" i="17"/>
  <c r="D154" i="17" s="1"/>
  <c r="D77" i="15"/>
  <c r="D154" i="15" s="1"/>
  <c r="D78" i="1"/>
  <c r="D155" i="1" s="1"/>
  <c r="D78" i="17"/>
  <c r="D155" i="17" s="1"/>
  <c r="D77" i="16"/>
  <c r="D154" i="16" s="1"/>
  <c r="D77" i="18"/>
  <c r="D154" i="18" s="1"/>
  <c r="D79" i="16"/>
  <c r="D156" i="16" s="1"/>
  <c r="D79" i="15"/>
  <c r="D156" i="15" s="1"/>
  <c r="D79" i="1"/>
  <c r="D156" i="1" s="1"/>
  <c r="D79" i="17"/>
  <c r="D156" i="17" s="1"/>
  <c r="D79" i="18"/>
  <c r="D156" i="18" s="1"/>
  <c r="F34" i="18"/>
  <c r="F111" i="18" s="1"/>
  <c r="F34" i="1"/>
  <c r="F111" i="1" s="1"/>
  <c r="F34" i="16"/>
  <c r="F111" i="16" s="1"/>
  <c r="F34" i="15"/>
  <c r="F111" i="15" s="1"/>
  <c r="F34" i="17"/>
  <c r="F111" i="17" s="1"/>
  <c r="F30" i="16"/>
  <c r="F107" i="16" s="1"/>
  <c r="F33" i="15"/>
  <c r="F110" i="15" s="1"/>
  <c r="F30" i="15"/>
  <c r="F107" i="15" s="1"/>
  <c r="F32" i="1"/>
  <c r="F109" i="1" s="1"/>
  <c r="F32" i="17"/>
  <c r="F109" i="17" s="1"/>
  <c r="F32" i="15"/>
  <c r="F109" i="15" s="1"/>
  <c r="F33" i="16"/>
  <c r="F110" i="16" s="1"/>
  <c r="F30" i="18"/>
  <c r="F107" i="18" s="1"/>
  <c r="F33" i="18"/>
  <c r="F110" i="18" s="1"/>
  <c r="F32" i="16"/>
  <c r="F109" i="16" s="1"/>
  <c r="F32" i="18"/>
  <c r="F109" i="18" s="1"/>
  <c r="F30" i="17"/>
  <c r="F107" i="17" s="1"/>
  <c r="F33" i="17"/>
  <c r="F110" i="17" s="1"/>
  <c r="F31" i="18"/>
  <c r="F108" i="18" s="1"/>
  <c r="F31" i="17"/>
  <c r="F108" i="17" s="1"/>
  <c r="F30" i="1"/>
  <c r="F107" i="1" s="1"/>
  <c r="F31" i="1"/>
  <c r="F108" i="1" s="1"/>
  <c r="F33" i="1"/>
  <c r="F110" i="1" s="1"/>
  <c r="F31" i="16"/>
  <c r="F108" i="16" s="1"/>
  <c r="F31" i="15"/>
  <c r="F108" i="15" s="1"/>
  <c r="F79" i="16"/>
  <c r="F156" i="16" s="1"/>
  <c r="F79" i="17"/>
  <c r="F156" i="17" s="1"/>
  <c r="F79" i="1"/>
  <c r="F156" i="1" s="1"/>
  <c r="F79" i="18"/>
  <c r="F156" i="18" s="1"/>
  <c r="F79" i="15"/>
  <c r="F156" i="15" s="1"/>
  <c r="F75" i="16"/>
  <c r="F152" i="16" s="1"/>
  <c r="F78" i="16"/>
  <c r="F155" i="16" s="1"/>
  <c r="F75" i="15"/>
  <c r="F152" i="15" s="1"/>
  <c r="F77" i="16"/>
  <c r="F154" i="16" s="1"/>
  <c r="F77" i="18"/>
  <c r="F154" i="18" s="1"/>
  <c r="F78" i="18"/>
  <c r="F155" i="18" s="1"/>
  <c r="F78" i="15"/>
  <c r="F155" i="15" s="1"/>
  <c r="F75" i="18"/>
  <c r="F152" i="18" s="1"/>
  <c r="F77" i="1"/>
  <c r="F154" i="1" s="1"/>
  <c r="F77" i="17"/>
  <c r="F154" i="17" s="1"/>
  <c r="F77" i="15"/>
  <c r="F154" i="15" s="1"/>
  <c r="F75" i="17"/>
  <c r="F152" i="17" s="1"/>
  <c r="F75" i="1"/>
  <c r="F152" i="1" s="1"/>
  <c r="F78" i="1"/>
  <c r="F155" i="1" s="1"/>
  <c r="F76" i="15"/>
  <c r="F153" i="15" s="1"/>
  <c r="F76" i="16"/>
  <c r="F153" i="16" s="1"/>
  <c r="F78" i="17"/>
  <c r="F155" i="17" s="1"/>
  <c r="F76" i="1"/>
  <c r="F153" i="1" s="1"/>
  <c r="F76" i="18"/>
  <c r="F153" i="18" s="1"/>
  <c r="F76" i="17"/>
  <c r="F153" i="17" s="1"/>
  <c r="H62" i="1"/>
  <c r="H139" i="1" s="1"/>
  <c r="H62" i="17"/>
  <c r="H139" i="17" s="1"/>
  <c r="H62" i="15"/>
  <c r="H139" i="15" s="1"/>
  <c r="H62" i="16"/>
  <c r="H139" i="16" s="1"/>
  <c r="H62" i="18"/>
  <c r="H139" i="18" s="1"/>
  <c r="H64" i="16"/>
  <c r="H141" i="16" s="1"/>
  <c r="H64" i="15"/>
  <c r="H141" i="15" s="1"/>
  <c r="H64" i="18"/>
  <c r="H141" i="18" s="1"/>
  <c r="H64" i="17"/>
  <c r="H141" i="17" s="1"/>
  <c r="H64" i="1"/>
  <c r="H141" i="1" s="1"/>
  <c r="H63" i="15"/>
  <c r="H140" i="15" s="1"/>
  <c r="H61" i="16"/>
  <c r="H138" i="16" s="1"/>
  <c r="H63" i="18"/>
  <c r="H140" i="18" s="1"/>
  <c r="H63" i="16"/>
  <c r="H140" i="16" s="1"/>
  <c r="H60" i="15"/>
  <c r="H137" i="15" s="1"/>
  <c r="H60" i="18"/>
  <c r="H137" i="18" s="1"/>
  <c r="H60" i="16"/>
  <c r="H137" i="16" s="1"/>
  <c r="H61" i="1"/>
  <c r="H138" i="1" s="1"/>
  <c r="H60" i="1"/>
  <c r="H137" i="1" s="1"/>
  <c r="H61" i="15"/>
  <c r="H138" i="15" s="1"/>
  <c r="H60" i="17"/>
  <c r="H137" i="17" s="1"/>
  <c r="H61" i="18"/>
  <c r="H138" i="18" s="1"/>
  <c r="H63" i="1"/>
  <c r="H140" i="1" s="1"/>
  <c r="H61" i="17"/>
  <c r="H138" i="17" s="1"/>
  <c r="H63" i="17"/>
  <c r="H140" i="17" s="1"/>
  <c r="G32" i="1"/>
  <c r="G109" i="1" s="1"/>
  <c r="G32" i="17"/>
  <c r="G109" i="17" s="1"/>
  <c r="G32" i="15"/>
  <c r="G109" i="15" s="1"/>
  <c r="G32" i="16"/>
  <c r="G109" i="16" s="1"/>
  <c r="G32" i="18"/>
  <c r="G109" i="18" s="1"/>
  <c r="G34" i="16"/>
  <c r="G111" i="16" s="1"/>
  <c r="G34" i="15"/>
  <c r="G111" i="15" s="1"/>
  <c r="G34" i="1"/>
  <c r="G111" i="1" s="1"/>
  <c r="G34" i="18"/>
  <c r="G111" i="18" s="1"/>
  <c r="G34" i="17"/>
  <c r="G111" i="17" s="1"/>
  <c r="G33" i="16"/>
  <c r="G110" i="16" s="1"/>
  <c r="G30" i="16"/>
  <c r="G107" i="16" s="1"/>
  <c r="G33" i="18"/>
  <c r="G110" i="18" s="1"/>
  <c r="G30" i="18"/>
  <c r="G107" i="18" s="1"/>
  <c r="G33" i="15"/>
  <c r="G110" i="15" s="1"/>
  <c r="G30" i="15"/>
  <c r="G107" i="15" s="1"/>
  <c r="G31" i="1"/>
  <c r="G108" i="1" s="1"/>
  <c r="G31" i="18"/>
  <c r="G108" i="18" s="1"/>
  <c r="G33" i="17"/>
  <c r="G110" i="17" s="1"/>
  <c r="G30" i="17"/>
  <c r="G107" i="17" s="1"/>
  <c r="G33" i="1"/>
  <c r="G110" i="1" s="1"/>
  <c r="G30" i="1"/>
  <c r="G107" i="1" s="1"/>
  <c r="G31" i="15"/>
  <c r="G108" i="15" s="1"/>
  <c r="G31" i="17"/>
  <c r="G108" i="17" s="1"/>
  <c r="G31" i="16"/>
  <c r="G108" i="16" s="1"/>
  <c r="E45" i="16"/>
  <c r="E122" i="16" s="1"/>
  <c r="E45" i="18"/>
  <c r="E122" i="18" s="1"/>
  <c r="E45" i="17"/>
  <c r="E122" i="17" s="1"/>
  <c r="E45" i="15"/>
  <c r="E122" i="15" s="1"/>
  <c r="E45" i="1"/>
  <c r="E122" i="1" s="1"/>
  <c r="E46" i="15"/>
  <c r="E123" i="15" s="1"/>
  <c r="E46" i="17"/>
  <c r="E123" i="17" s="1"/>
  <c r="E46" i="1"/>
  <c r="E123" i="1" s="1"/>
  <c r="E46" i="18"/>
  <c r="E123" i="18" s="1"/>
  <c r="E46" i="16"/>
  <c r="E123" i="16" s="1"/>
  <c r="E48" i="17"/>
  <c r="E125" i="17" s="1"/>
  <c r="E48" i="16"/>
  <c r="E125" i="16" s="1"/>
  <c r="E48" i="15"/>
  <c r="E125" i="15" s="1"/>
  <c r="E48" i="1"/>
  <c r="E125" i="1" s="1"/>
  <c r="E48" i="18"/>
  <c r="E125" i="18" s="1"/>
  <c r="E47" i="16"/>
  <c r="E124" i="16" s="1"/>
  <c r="E47" i="18"/>
  <c r="E124" i="18" s="1"/>
  <c r="E47" i="1"/>
  <c r="E124" i="1" s="1"/>
  <c r="E47" i="17"/>
  <c r="E124" i="17" s="1"/>
  <c r="E47" i="15"/>
  <c r="E124" i="15" s="1"/>
  <c r="E49" i="17"/>
  <c r="E126" i="17" s="1"/>
  <c r="E49" i="16"/>
  <c r="E126" i="16" s="1"/>
  <c r="E49" i="18"/>
  <c r="E126" i="18" s="1"/>
  <c r="E49" i="1"/>
  <c r="E126" i="1" s="1"/>
  <c r="E49" i="15"/>
  <c r="E126" i="15" s="1"/>
  <c r="E75" i="18"/>
  <c r="E152" i="18" s="1"/>
  <c r="E75" i="17"/>
  <c r="E152" i="17" s="1"/>
  <c r="E75" i="1"/>
  <c r="E152" i="1" s="1"/>
  <c r="E75" i="15"/>
  <c r="E152" i="15" s="1"/>
  <c r="E75" i="16"/>
  <c r="E152" i="16" s="1"/>
  <c r="E76" i="16"/>
  <c r="E153" i="16" s="1"/>
  <c r="E76" i="15"/>
  <c r="E153" i="15" s="1"/>
  <c r="E76" i="1"/>
  <c r="E153" i="1" s="1"/>
  <c r="E76" i="18"/>
  <c r="E153" i="18" s="1"/>
  <c r="E76" i="17"/>
  <c r="E153" i="17" s="1"/>
  <c r="E78" i="17"/>
  <c r="E155" i="17" s="1"/>
  <c r="E78" i="1"/>
  <c r="E155" i="1" s="1"/>
  <c r="E77" i="16"/>
  <c r="E154" i="16" s="1"/>
  <c r="E77" i="18"/>
  <c r="E154" i="18" s="1"/>
  <c r="E78" i="18"/>
  <c r="E155" i="18" s="1"/>
  <c r="E78" i="16"/>
  <c r="E155" i="16" s="1"/>
  <c r="E78" i="15"/>
  <c r="E155" i="15" s="1"/>
  <c r="E77" i="1"/>
  <c r="E154" i="1" s="1"/>
  <c r="E77" i="17"/>
  <c r="E154" i="17" s="1"/>
  <c r="E77" i="15"/>
  <c r="E154" i="15" s="1"/>
  <c r="E79" i="16"/>
  <c r="E156" i="16" s="1"/>
  <c r="E79" i="17"/>
  <c r="E156" i="17" s="1"/>
  <c r="E79" i="15"/>
  <c r="E156" i="15" s="1"/>
  <c r="E79" i="18"/>
  <c r="E156" i="18" s="1"/>
  <c r="E79" i="1"/>
  <c r="E156" i="1" s="1"/>
  <c r="D25" i="16"/>
  <c r="D102" i="16" s="1"/>
  <c r="D24" i="16"/>
  <c r="D101" i="16" s="1"/>
  <c r="D29" i="16"/>
  <c r="D106" i="16" s="1"/>
  <c r="D29" i="17"/>
  <c r="D106" i="17" s="1"/>
  <c r="D29" i="18"/>
  <c r="D106" i="18" s="1"/>
  <c r="D25" i="17"/>
  <c r="D102" i="17" s="1"/>
  <c r="D24" i="17"/>
  <c r="D101" i="17" s="1"/>
  <c r="D25" i="18"/>
  <c r="D102" i="18" s="1"/>
  <c r="D24" i="18"/>
  <c r="D101" i="18" s="1"/>
  <c r="D25" i="15"/>
  <c r="D102" i="15" s="1"/>
  <c r="D24" i="15"/>
  <c r="D101" i="15" s="1"/>
  <c r="D25" i="1"/>
  <c r="D102" i="1" s="1"/>
  <c r="D24" i="1"/>
  <c r="D101" i="1" s="1"/>
  <c r="D29" i="15"/>
  <c r="D106" i="15" s="1"/>
  <c r="D29" i="1"/>
  <c r="D106" i="1" s="1"/>
  <c r="D30" i="15"/>
  <c r="D30" i="18"/>
  <c r="D30" i="16"/>
  <c r="D30" i="17"/>
  <c r="D30" i="1"/>
  <c r="D31" i="15"/>
  <c r="D108" i="15" s="1"/>
  <c r="D31" i="1"/>
  <c r="D108" i="1" s="1"/>
  <c r="D31" i="16"/>
  <c r="D108" i="16" s="1"/>
  <c r="D31" i="17"/>
  <c r="D108" i="17" s="1"/>
  <c r="D31" i="18"/>
  <c r="D108" i="18" s="1"/>
  <c r="D33" i="17"/>
  <c r="D110" i="17" s="1"/>
  <c r="D33" i="15"/>
  <c r="D110" i="15" s="1"/>
  <c r="D33" i="16"/>
  <c r="D110" i="16" s="1"/>
  <c r="D33" i="1"/>
  <c r="D110" i="1" s="1"/>
  <c r="D33" i="18"/>
  <c r="D110" i="18" s="1"/>
  <c r="D32" i="16"/>
  <c r="D109" i="16" s="1"/>
  <c r="D32" i="18"/>
  <c r="D109" i="18" s="1"/>
  <c r="D32" i="1"/>
  <c r="D109" i="1" s="1"/>
  <c r="D32" i="17"/>
  <c r="D109" i="17" s="1"/>
  <c r="D32" i="15"/>
  <c r="D109" i="15" s="1"/>
  <c r="D34" i="16"/>
  <c r="D111" i="16" s="1"/>
  <c r="D34" i="15"/>
  <c r="D111" i="15" s="1"/>
  <c r="D34" i="1"/>
  <c r="D111" i="1" s="1"/>
  <c r="D34" i="18"/>
  <c r="D111" i="18" s="1"/>
  <c r="D34" i="17"/>
  <c r="D111" i="17" s="1"/>
  <c r="F64" i="17"/>
  <c r="F141" i="17" s="1"/>
  <c r="F64" i="15"/>
  <c r="F141" i="15" s="1"/>
  <c r="F64" i="16"/>
  <c r="F141" i="16" s="1"/>
  <c r="F64" i="1"/>
  <c r="F141" i="1" s="1"/>
  <c r="F64" i="18"/>
  <c r="F141" i="18" s="1"/>
  <c r="F63" i="16"/>
  <c r="F140" i="16" s="1"/>
  <c r="F60" i="18"/>
  <c r="F137" i="18" s="1"/>
  <c r="F63" i="18"/>
  <c r="F140" i="18" s="1"/>
  <c r="F62" i="16"/>
  <c r="F139" i="16" s="1"/>
  <c r="F62" i="18"/>
  <c r="F139" i="18" s="1"/>
  <c r="F60" i="15"/>
  <c r="F137" i="15" s="1"/>
  <c r="F63" i="15"/>
  <c r="F140" i="15" s="1"/>
  <c r="F60" i="16"/>
  <c r="F137" i="16" s="1"/>
  <c r="F62" i="1"/>
  <c r="F139" i="1" s="1"/>
  <c r="F62" i="17"/>
  <c r="F139" i="17" s="1"/>
  <c r="F62" i="15"/>
  <c r="F139" i="15" s="1"/>
  <c r="F61" i="17"/>
  <c r="F138" i="17" s="1"/>
  <c r="F63" i="17"/>
  <c r="F140" i="17" s="1"/>
  <c r="F61" i="1"/>
  <c r="F138" i="1" s="1"/>
  <c r="F60" i="17"/>
  <c r="F137" i="17" s="1"/>
  <c r="F61" i="16"/>
  <c r="F138" i="16" s="1"/>
  <c r="F60" i="1"/>
  <c r="F137" i="1" s="1"/>
  <c r="F61" i="18"/>
  <c r="F138" i="18" s="1"/>
  <c r="F61" i="15"/>
  <c r="F138" i="15" s="1"/>
  <c r="F63" i="1"/>
  <c r="F140" i="1" s="1"/>
  <c r="H27" i="1" l="1"/>
  <c r="G27" i="1"/>
  <c r="F27" i="1"/>
  <c r="G39" i="2"/>
  <c r="E27" i="1"/>
  <c r="D107" i="16"/>
  <c r="D107" i="15"/>
  <c r="D107" i="17"/>
  <c r="D107" i="18"/>
  <c r="D107" i="1"/>
  <c r="G50" i="2"/>
  <c r="G51" i="2"/>
  <c r="G14" i="2"/>
  <c r="G63" i="2"/>
  <c r="G26" i="2"/>
  <c r="G62" i="2"/>
  <c r="G38" i="2"/>
  <c r="G40" i="2"/>
  <c r="G52" i="2"/>
  <c r="G27" i="2"/>
  <c r="G17" i="2"/>
  <c r="G53" i="2"/>
  <c r="G15" i="2"/>
  <c r="G29" i="2"/>
  <c r="G65" i="2"/>
  <c r="G41" i="2"/>
  <c r="G64" i="2"/>
  <c r="G28" i="2"/>
  <c r="G16" i="2"/>
  <c r="F39" i="2"/>
  <c r="F15" i="2"/>
  <c r="F51" i="2"/>
  <c r="F53" i="2"/>
  <c r="F64" i="2"/>
  <c r="F65" i="2"/>
  <c r="F41" i="2"/>
  <c r="F52" i="2"/>
  <c r="F26" i="2"/>
  <c r="F38" i="2"/>
  <c r="E64" i="2"/>
  <c r="E28" i="2"/>
  <c r="E16" i="2"/>
  <c r="E41" i="2"/>
  <c r="E29" i="2"/>
  <c r="E27" i="2"/>
  <c r="E39" i="2"/>
  <c r="E15" i="2"/>
  <c r="E14" i="2"/>
  <c r="E62" i="2"/>
  <c r="H14" i="2"/>
  <c r="H39" i="2"/>
  <c r="H17" i="2"/>
  <c r="H50" i="2"/>
  <c r="H27" i="2"/>
  <c r="H65" i="2"/>
  <c r="H29" i="2"/>
  <c r="H26" i="2"/>
  <c r="H64" i="2"/>
  <c r="H28" i="2"/>
  <c r="H16" i="2"/>
  <c r="F27" i="2"/>
  <c r="F17" i="2"/>
  <c r="F14" i="2"/>
  <c r="F63" i="2"/>
  <c r="F50" i="2"/>
  <c r="F40" i="2"/>
  <c r="F62" i="2"/>
  <c r="F28" i="2"/>
  <c r="F16" i="2"/>
  <c r="F29" i="2"/>
  <c r="E40" i="2"/>
  <c r="E52" i="2"/>
  <c r="E17" i="2"/>
  <c r="E65" i="2"/>
  <c r="E53" i="2"/>
  <c r="E63" i="2"/>
  <c r="E51" i="2"/>
  <c r="E26" i="2"/>
  <c r="E50" i="2"/>
  <c r="E38" i="2"/>
  <c r="H53" i="2"/>
  <c r="H15" i="2"/>
  <c r="H51" i="2"/>
  <c r="H63" i="2"/>
  <c r="H41" i="2"/>
  <c r="H38" i="2"/>
  <c r="H62" i="2"/>
  <c r="H40" i="2"/>
  <c r="H52" i="2"/>
  <c r="D89" i="16"/>
  <c r="D97" i="16" s="1"/>
  <c r="D20" i="16"/>
  <c r="D89" i="17"/>
  <c r="D97" i="17" s="1"/>
  <c r="D20" i="17"/>
  <c r="D89" i="18"/>
  <c r="D97" i="18" s="1"/>
  <c r="D20" i="18"/>
  <c r="D89" i="15"/>
  <c r="D97" i="15" s="1"/>
  <c r="D20" i="15"/>
  <c r="D89" i="1"/>
  <c r="D97" i="1" s="1"/>
  <c r="D20" i="1"/>
  <c r="D119" i="15" l="1"/>
  <c r="D127" i="15" s="1"/>
  <c r="D50" i="15"/>
  <c r="D104" i="15"/>
  <c r="D112" i="15" s="1"/>
  <c r="D35" i="15"/>
  <c r="D134" i="18"/>
  <c r="D142" i="18" s="1"/>
  <c r="D65" i="18"/>
  <c r="D149" i="15"/>
  <c r="D157" i="15" s="1"/>
  <c r="D80" i="15"/>
  <c r="D104" i="16"/>
  <c r="D112" i="16" s="1"/>
  <c r="D35" i="16"/>
  <c r="D134" i="17"/>
  <c r="D142" i="17" s="1"/>
  <c r="D65" i="17"/>
  <c r="D149" i="18"/>
  <c r="D157" i="18" s="1"/>
  <c r="D80" i="18"/>
  <c r="D149" i="17"/>
  <c r="D157" i="17" s="1"/>
  <c r="D80" i="17"/>
  <c r="D104" i="18"/>
  <c r="D112" i="18" s="1"/>
  <c r="D35" i="18"/>
  <c r="D134" i="15"/>
  <c r="D142" i="15" s="1"/>
  <c r="D65" i="15"/>
  <c r="D119" i="16"/>
  <c r="D127" i="16" s="1"/>
  <c r="D50" i="16"/>
  <c r="D104" i="17"/>
  <c r="D112" i="17" s="1"/>
  <c r="D35" i="17"/>
  <c r="D134" i="16"/>
  <c r="D142" i="16" s="1"/>
  <c r="D65" i="16"/>
  <c r="D119" i="18"/>
  <c r="D127" i="18" s="1"/>
  <c r="D50" i="18"/>
  <c r="D149" i="16"/>
  <c r="D157" i="16" s="1"/>
  <c r="D80" i="16"/>
  <c r="D119" i="17"/>
  <c r="D127" i="17" s="1"/>
  <c r="D50" i="17"/>
  <c r="D134" i="1"/>
  <c r="D142" i="1" s="1"/>
  <c r="D65" i="1"/>
  <c r="D119" i="1"/>
  <c r="D127" i="1" s="1"/>
  <c r="D50" i="1"/>
  <c r="D104" i="1"/>
  <c r="D112" i="1" s="1"/>
  <c r="D35" i="1"/>
  <c r="D149" i="1"/>
  <c r="D157" i="1" s="1"/>
  <c r="D80" i="1"/>
  <c r="E30" i="5" l="1"/>
  <c r="E29" i="5" l="1"/>
  <c r="E606" i="5" l="1"/>
  <c r="E616" i="5" s="1"/>
  <c r="E626" i="5" s="1"/>
  <c r="E636" i="5" s="1"/>
  <c r="E646" i="5" s="1"/>
  <c r="F606" i="5"/>
  <c r="G606" i="5"/>
  <c r="G616" i="5" s="1"/>
  <c r="H606" i="5"/>
  <c r="H616" i="5" s="1"/>
  <c r="E607" i="5"/>
  <c r="D617" i="5" l="1"/>
  <c r="D627" i="5" s="1"/>
  <c r="D637" i="5" s="1"/>
  <c r="D647" i="5" s="1"/>
  <c r="F607" i="5"/>
  <c r="F616" i="5"/>
  <c r="G607" i="5" l="1"/>
  <c r="E617" i="5"/>
  <c r="G617" i="5" l="1"/>
  <c r="H607" i="5"/>
  <c r="H617" i="5" s="1"/>
  <c r="F617" i="5"/>
  <c r="F12" i="5"/>
  <c r="F11" i="5" l="1"/>
  <c r="G12" i="5"/>
  <c r="F627" i="5"/>
  <c r="F637" i="5" s="1"/>
  <c r="F647" i="5" s="1"/>
  <c r="G627" i="5" s="1"/>
  <c r="G637" i="5" s="1"/>
  <c r="G647" i="5" s="1"/>
  <c r="H627" i="5" s="1"/>
  <c r="H637" i="5" s="1"/>
  <c r="H647" i="5" s="1"/>
  <c r="E627" i="5" s="1"/>
  <c r="E637" i="5" s="1"/>
  <c r="E647" i="5" s="1"/>
  <c r="F626" i="5" s="1"/>
  <c r="H12" i="5" l="1"/>
  <c r="G11" i="5"/>
  <c r="H11" i="5"/>
  <c r="F636" i="5"/>
  <c r="F23" i="5" l="1"/>
  <c r="F646" i="5"/>
  <c r="F24" i="5"/>
  <c r="F29" i="5" l="1"/>
  <c r="G626" i="5"/>
  <c r="F30" i="5"/>
  <c r="F35" i="5" l="1"/>
  <c r="G636" i="5"/>
  <c r="F36" i="5"/>
  <c r="F34" i="5"/>
  <c r="G24" i="5" l="1"/>
  <c r="G23" i="5"/>
  <c r="G646" i="5"/>
  <c r="G30" i="5" l="1"/>
  <c r="G29" i="5"/>
  <c r="H626" i="5"/>
  <c r="G36" i="5" l="1"/>
  <c r="G35" i="5"/>
  <c r="H636" i="5"/>
  <c r="H23" i="5"/>
  <c r="H24" i="5"/>
  <c r="G34" i="5"/>
  <c r="H646" i="5" l="1"/>
  <c r="H30" i="5"/>
  <c r="H29" i="5"/>
  <c r="F657" i="5" l="1"/>
  <c r="H36" i="5"/>
  <c r="H35" i="5"/>
  <c r="H34" i="5"/>
  <c r="G657" i="5" l="1"/>
  <c r="H657" i="5" s="1"/>
  <c r="F666" i="5" s="1"/>
  <c r="G666" i="5" l="1"/>
  <c r="H666" i="5" s="1"/>
  <c r="F675" i="5" s="1"/>
  <c r="G675" i="5" l="1"/>
  <c r="H675" i="5" s="1"/>
  <c r="F684" i="5" s="1"/>
  <c r="G684" i="5" l="1"/>
  <c r="H684" i="5" s="1"/>
  <c r="F693" i="5" s="1"/>
  <c r="G693" i="5" l="1"/>
  <c r="H693" i="5" s="1"/>
  <c r="E693" i="5" s="1"/>
  <c r="E684" i="5" s="1"/>
  <c r="E675" i="5" s="1"/>
  <c r="E666" i="5" s="1"/>
  <c r="E657" i="5" s="1"/>
  <c r="F764" i="5" l="1"/>
  <c r="F757" i="5"/>
  <c r="F778" i="5"/>
  <c r="F750" i="5"/>
  <c r="F114" i="5" l="1"/>
  <c r="F113" i="5"/>
  <c r="F112" i="5"/>
  <c r="F111" i="5"/>
  <c r="F133" i="5"/>
  <c r="F134" i="5"/>
  <c r="F131" i="5"/>
  <c r="F132" i="5"/>
  <c r="F117" i="5"/>
  <c r="F118" i="5"/>
  <c r="F119" i="5"/>
  <c r="F116" i="5"/>
  <c r="F123" i="5"/>
  <c r="F124" i="5"/>
  <c r="F122" i="5"/>
  <c r="F121" i="5"/>
  <c r="H750" i="5"/>
  <c r="G750" i="5"/>
  <c r="H778" i="5"/>
  <c r="G778" i="5"/>
  <c r="H757" i="5"/>
  <c r="G757" i="5"/>
  <c r="H764" i="5"/>
  <c r="G764" i="5"/>
  <c r="E764" i="5"/>
  <c r="E757" i="5"/>
  <c r="E778" i="5"/>
  <c r="E15" i="5" l="1"/>
  <c r="E20" i="5"/>
  <c r="E22" i="5"/>
  <c r="E118" i="5"/>
  <c r="E119" i="5"/>
  <c r="E117" i="5"/>
  <c r="E116" i="5"/>
  <c r="E124" i="5"/>
  <c r="E121" i="5"/>
  <c r="E122" i="5"/>
  <c r="E123" i="5"/>
  <c r="G122" i="5"/>
  <c r="G121" i="5"/>
  <c r="G124" i="5"/>
  <c r="G123" i="5"/>
  <c r="G118" i="5"/>
  <c r="G119" i="5"/>
  <c r="G116" i="5"/>
  <c r="G117" i="5"/>
  <c r="G133" i="5"/>
  <c r="G134" i="5"/>
  <c r="G132" i="5"/>
  <c r="G131" i="5"/>
  <c r="G112" i="5"/>
  <c r="G111" i="5"/>
  <c r="G113" i="5"/>
  <c r="G114" i="5"/>
  <c r="E10" i="5"/>
  <c r="E33" i="5"/>
  <c r="E17" i="5"/>
  <c r="E27" i="5"/>
  <c r="E8" i="5"/>
  <c r="E9" i="5"/>
  <c r="E32" i="5"/>
  <c r="E14" i="5"/>
  <c r="E16" i="5"/>
  <c r="E18" i="5"/>
  <c r="E21" i="5"/>
  <c r="E26" i="5"/>
  <c r="E28" i="5"/>
  <c r="E750" i="5"/>
  <c r="E131" i="5"/>
  <c r="E134" i="5"/>
  <c r="E132" i="5"/>
  <c r="E133" i="5"/>
  <c r="H123" i="5"/>
  <c r="H124" i="5"/>
  <c r="H121" i="5"/>
  <c r="H122" i="5"/>
  <c r="H119" i="5"/>
  <c r="H117" i="5"/>
  <c r="H118" i="5"/>
  <c r="H116" i="5"/>
  <c r="H134" i="5"/>
  <c r="H131" i="5"/>
  <c r="H132" i="5"/>
  <c r="H133" i="5"/>
  <c r="H112" i="5"/>
  <c r="H111" i="5"/>
  <c r="H114" i="5"/>
  <c r="H113" i="5"/>
  <c r="G10" i="5" l="1"/>
  <c r="F10" i="5"/>
  <c r="E91" i="5"/>
  <c r="E93" i="5"/>
  <c r="E54" i="5" s="1"/>
  <c r="E95" i="5"/>
  <c r="E56" i="5" s="1"/>
  <c r="F28" i="5"/>
  <c r="F26" i="5"/>
  <c r="F21" i="5"/>
  <c r="F18" i="5"/>
  <c r="F16" i="5"/>
  <c r="F14" i="5"/>
  <c r="F32" i="5"/>
  <c r="F9" i="5"/>
  <c r="F8" i="5"/>
  <c r="F27" i="5"/>
  <c r="F17" i="5"/>
  <c r="F33" i="5"/>
  <c r="F22" i="5"/>
  <c r="F20" i="5"/>
  <c r="F15" i="5"/>
  <c r="E79" i="5"/>
  <c r="E92" i="5"/>
  <c r="E53" i="5" s="1"/>
  <c r="E94" i="5"/>
  <c r="E55" i="5" s="1"/>
  <c r="E113" i="5"/>
  <c r="E112" i="5"/>
  <c r="E111" i="5"/>
  <c r="E114" i="5"/>
  <c r="E24" i="17"/>
  <c r="E24" i="16"/>
  <c r="E24" i="1"/>
  <c r="E24" i="15"/>
  <c r="E24" i="18"/>
  <c r="E69" i="15"/>
  <c r="E69" i="1"/>
  <c r="E69" i="16"/>
  <c r="E69" i="17"/>
  <c r="E69" i="18"/>
  <c r="E39" i="18"/>
  <c r="E39" i="17"/>
  <c r="E39" i="16"/>
  <c r="E39" i="1"/>
  <c r="E39" i="15"/>
  <c r="E771" i="5"/>
  <c r="H10" i="5" l="1"/>
  <c r="E9" i="1"/>
  <c r="E9" i="15"/>
  <c r="E9" i="18"/>
  <c r="E86" i="18" s="1"/>
  <c r="E9" i="16"/>
  <c r="E9" i="17"/>
  <c r="E116" i="1"/>
  <c r="E116" i="17"/>
  <c r="E86" i="15"/>
  <c r="E86" i="1"/>
  <c r="E86" i="16"/>
  <c r="E146" i="17"/>
  <c r="E146" i="1"/>
  <c r="E101" i="18"/>
  <c r="E101" i="1"/>
  <c r="E101" i="17"/>
  <c r="E40" i="5"/>
  <c r="G15" i="5"/>
  <c r="H15" i="5"/>
  <c r="G20" i="5"/>
  <c r="H20" i="5"/>
  <c r="G22" i="5"/>
  <c r="H22" i="5"/>
  <c r="G33" i="5"/>
  <c r="H33" i="5"/>
  <c r="H17" i="5"/>
  <c r="G17" i="5"/>
  <c r="G27" i="5"/>
  <c r="H27" i="5"/>
  <c r="F9" i="1"/>
  <c r="F9" i="17"/>
  <c r="F9" i="15"/>
  <c r="F9" i="16"/>
  <c r="F9" i="18"/>
  <c r="G32" i="5"/>
  <c r="H32" i="5"/>
  <c r="H14" i="5"/>
  <c r="G14" i="5"/>
  <c r="H18" i="5"/>
  <c r="G18" i="5"/>
  <c r="G21" i="5"/>
  <c r="H21" i="5"/>
  <c r="G26" i="5"/>
  <c r="H26" i="5"/>
  <c r="G28" i="5"/>
  <c r="H28" i="5"/>
  <c r="E44" i="17"/>
  <c r="E121" i="17" s="1"/>
  <c r="E44" i="18"/>
  <c r="E121" i="18" s="1"/>
  <c r="E44" i="15"/>
  <c r="E121" i="15" s="1"/>
  <c r="E44" i="1"/>
  <c r="E121" i="1" s="1"/>
  <c r="E44" i="16"/>
  <c r="E121" i="16" s="1"/>
  <c r="E52" i="5"/>
  <c r="E126" i="5"/>
  <c r="E128" i="5"/>
  <c r="E127" i="5"/>
  <c r="E129" i="5"/>
  <c r="F771" i="5"/>
  <c r="E116" i="15"/>
  <c r="E116" i="16"/>
  <c r="E116" i="18"/>
  <c r="E86" i="17"/>
  <c r="E146" i="18"/>
  <c r="E146" i="16"/>
  <c r="E146" i="15"/>
  <c r="E101" i="15"/>
  <c r="E101" i="16"/>
  <c r="F94" i="5"/>
  <c r="F55" i="5" s="1"/>
  <c r="F92" i="5"/>
  <c r="F53" i="5" s="1"/>
  <c r="F79" i="5"/>
  <c r="F39" i="16"/>
  <c r="F39" i="18"/>
  <c r="F39" i="17"/>
  <c r="F39" i="15"/>
  <c r="F39" i="1"/>
  <c r="G8" i="5"/>
  <c r="H8" i="5"/>
  <c r="H9" i="5"/>
  <c r="G9" i="5"/>
  <c r="F69" i="16"/>
  <c r="F69" i="18"/>
  <c r="F69" i="1"/>
  <c r="F69" i="17"/>
  <c r="F69" i="15"/>
  <c r="F24" i="16"/>
  <c r="F24" i="18"/>
  <c r="F24" i="1"/>
  <c r="F24" i="17"/>
  <c r="F24" i="15"/>
  <c r="G16" i="5"/>
  <c r="H16" i="5"/>
  <c r="F95" i="5"/>
  <c r="F56" i="5" s="1"/>
  <c r="F93" i="5"/>
  <c r="F54" i="5" s="1"/>
  <c r="F91" i="5"/>
  <c r="G71" i="5"/>
  <c r="H71" i="5"/>
  <c r="G75" i="5"/>
  <c r="H75" i="5"/>
  <c r="G72" i="5"/>
  <c r="H72" i="5"/>
  <c r="G73" i="5"/>
  <c r="H73" i="5"/>
  <c r="G74" i="5"/>
  <c r="H74" i="5"/>
  <c r="F74" i="5"/>
  <c r="F73" i="5"/>
  <c r="F72" i="5"/>
  <c r="F75" i="5"/>
  <c r="F71" i="5"/>
  <c r="H91" i="5" l="1"/>
  <c r="G91" i="5"/>
  <c r="H93" i="5"/>
  <c r="H54" i="5" s="1"/>
  <c r="G93" i="5"/>
  <c r="G54" i="5" s="1"/>
  <c r="H95" i="5"/>
  <c r="H56" i="5" s="1"/>
  <c r="G95" i="5"/>
  <c r="G56" i="5" s="1"/>
  <c r="F101" i="17"/>
  <c r="F101" i="18"/>
  <c r="F146" i="15"/>
  <c r="F146" i="1"/>
  <c r="F146" i="16"/>
  <c r="G9" i="16"/>
  <c r="G9" i="18"/>
  <c r="G9" i="17"/>
  <c r="G9" i="15"/>
  <c r="G9" i="1"/>
  <c r="F116" i="1"/>
  <c r="F116" i="17"/>
  <c r="F116" i="16"/>
  <c r="H79" i="5"/>
  <c r="G79" i="5"/>
  <c r="H92" i="5"/>
  <c r="H53" i="5" s="1"/>
  <c r="G92" i="5"/>
  <c r="G53" i="5" s="1"/>
  <c r="H94" i="5"/>
  <c r="H55" i="5" s="1"/>
  <c r="G94" i="5"/>
  <c r="G55" i="5" s="1"/>
  <c r="H771" i="5"/>
  <c r="G771" i="5"/>
  <c r="E54" i="16"/>
  <c r="E54" i="17"/>
  <c r="E54" i="1"/>
  <c r="E54" i="18"/>
  <c r="E54" i="15"/>
  <c r="H24" i="16"/>
  <c r="H24" i="18"/>
  <c r="H24" i="1"/>
  <c r="H24" i="17"/>
  <c r="H24" i="15"/>
  <c r="G69" i="1"/>
  <c r="G69" i="17"/>
  <c r="G69" i="15"/>
  <c r="G69" i="16"/>
  <c r="G69" i="18"/>
  <c r="F86" i="16"/>
  <c r="F86" i="17"/>
  <c r="H52" i="5"/>
  <c r="H39" i="17"/>
  <c r="H39" i="15"/>
  <c r="H39" i="16"/>
  <c r="H39" i="18"/>
  <c r="H39" i="1"/>
  <c r="F44" i="16"/>
  <c r="F121" i="16" s="1"/>
  <c r="F44" i="17"/>
  <c r="F121" i="17" s="1"/>
  <c r="F44" i="18"/>
  <c r="F121" i="18" s="1"/>
  <c r="F44" i="15"/>
  <c r="F121" i="15" s="1"/>
  <c r="F44" i="1"/>
  <c r="F121" i="1" s="1"/>
  <c r="F52" i="5"/>
  <c r="F101" i="15"/>
  <c r="F101" i="1"/>
  <c r="F101" i="16"/>
  <c r="F146" i="17"/>
  <c r="F146" i="18"/>
  <c r="H9" i="1"/>
  <c r="H9" i="17"/>
  <c r="H9" i="15"/>
  <c r="H9" i="16"/>
  <c r="H9" i="18"/>
  <c r="H40" i="5"/>
  <c r="F116" i="15"/>
  <c r="F116" i="18"/>
  <c r="F40" i="5"/>
  <c r="F126" i="5"/>
  <c r="F128" i="5"/>
  <c r="F127" i="5"/>
  <c r="F129" i="5"/>
  <c r="G24" i="16"/>
  <c r="G24" i="18"/>
  <c r="G24" i="1"/>
  <c r="G24" i="17"/>
  <c r="G24" i="15"/>
  <c r="H69" i="1"/>
  <c r="H69" i="17"/>
  <c r="H69" i="15"/>
  <c r="H69" i="16"/>
  <c r="H69" i="18"/>
  <c r="F86" i="18"/>
  <c r="F86" i="15"/>
  <c r="F86" i="1"/>
  <c r="G39" i="16"/>
  <c r="G39" i="18"/>
  <c r="G39" i="1"/>
  <c r="G39" i="17"/>
  <c r="G39" i="15"/>
  <c r="E74" i="5"/>
  <c r="E73" i="5"/>
  <c r="E40" i="15" s="1"/>
  <c r="E72" i="5"/>
  <c r="E75" i="5"/>
  <c r="E71" i="5"/>
  <c r="E117" i="15" l="1"/>
  <c r="E98" i="5"/>
  <c r="E59" i="5" s="1"/>
  <c r="E100" i="5"/>
  <c r="E61" i="5" s="1"/>
  <c r="G116" i="17"/>
  <c r="G116" i="18"/>
  <c r="H146" i="18"/>
  <c r="H146" i="15"/>
  <c r="H146" i="1"/>
  <c r="G101" i="17"/>
  <c r="G101" i="18"/>
  <c r="E40" i="16"/>
  <c r="E40" i="17"/>
  <c r="H86" i="18"/>
  <c r="H86" i="15"/>
  <c r="H86" i="1"/>
  <c r="H116" i="1"/>
  <c r="H116" i="16"/>
  <c r="H116" i="17"/>
  <c r="G146" i="16"/>
  <c r="G146" i="17"/>
  <c r="H101" i="15"/>
  <c r="H101" i="1"/>
  <c r="H101" i="16"/>
  <c r="E131" i="18"/>
  <c r="E57" i="2" s="1"/>
  <c r="E131" i="17"/>
  <c r="E45" i="2" s="1"/>
  <c r="G126" i="5"/>
  <c r="G128" i="5"/>
  <c r="G127" i="5"/>
  <c r="G129" i="5"/>
  <c r="G40" i="5"/>
  <c r="G86" i="1"/>
  <c r="G86" i="17"/>
  <c r="G86" i="16"/>
  <c r="G44" i="15"/>
  <c r="G121" i="15" s="1"/>
  <c r="G44" i="1"/>
  <c r="G121" i="1" s="1"/>
  <c r="G44" i="16"/>
  <c r="G121" i="16" s="1"/>
  <c r="G44" i="17"/>
  <c r="G121" i="17" s="1"/>
  <c r="G44" i="18"/>
  <c r="G121" i="18" s="1"/>
  <c r="G52" i="5"/>
  <c r="E97" i="5"/>
  <c r="E99" i="5"/>
  <c r="E60" i="5" s="1"/>
  <c r="E101" i="5"/>
  <c r="E62" i="5" s="1"/>
  <c r="G116" i="15"/>
  <c r="G116" i="1"/>
  <c r="G116" i="16"/>
  <c r="H146" i="16"/>
  <c r="H146" i="17"/>
  <c r="G101" i="15"/>
  <c r="G101" i="1"/>
  <c r="G101" i="16"/>
  <c r="E40" i="1"/>
  <c r="E40" i="18"/>
  <c r="F54" i="18"/>
  <c r="F54" i="15"/>
  <c r="F54" i="16"/>
  <c r="F54" i="17"/>
  <c r="F54" i="1"/>
  <c r="H86" i="16"/>
  <c r="H86" i="17"/>
  <c r="F40" i="16"/>
  <c r="F40" i="1"/>
  <c r="F40" i="15"/>
  <c r="F40" i="18"/>
  <c r="F40" i="17"/>
  <c r="H116" i="18"/>
  <c r="H116" i="15"/>
  <c r="H40" i="16"/>
  <c r="H40" i="1"/>
  <c r="H40" i="15"/>
  <c r="H40" i="18"/>
  <c r="H40" i="17"/>
  <c r="G146" i="18"/>
  <c r="G146" i="15"/>
  <c r="G146" i="1"/>
  <c r="H101" i="17"/>
  <c r="H101" i="18"/>
  <c r="E131" i="15"/>
  <c r="E21" i="2" s="1"/>
  <c r="E131" i="1"/>
  <c r="E9" i="2" s="1"/>
  <c r="E131" i="16"/>
  <c r="E33" i="2" s="1"/>
  <c r="H126" i="5"/>
  <c r="H127" i="5"/>
  <c r="H129" i="5"/>
  <c r="H128" i="5"/>
  <c r="G86" i="15"/>
  <c r="G86" i="18"/>
  <c r="H44" i="15"/>
  <c r="H121" i="15" s="1"/>
  <c r="H44" i="1"/>
  <c r="H121" i="1" s="1"/>
  <c r="H44" i="16"/>
  <c r="H121" i="16" s="1"/>
  <c r="H44" i="17"/>
  <c r="H121" i="17" s="1"/>
  <c r="H44" i="18"/>
  <c r="H121" i="18" s="1"/>
  <c r="E119" i="15" l="1"/>
  <c r="E105" i="2"/>
  <c r="E98" i="2"/>
  <c r="E91" i="2"/>
  <c r="E84" i="2"/>
  <c r="E77" i="2"/>
  <c r="E127" i="15"/>
  <c r="E50" i="15"/>
  <c r="H117" i="18"/>
  <c r="H117" i="1"/>
  <c r="F117" i="18"/>
  <c r="F117" i="1"/>
  <c r="F131" i="1"/>
  <c r="F9" i="2" s="1"/>
  <c r="F131" i="16"/>
  <c r="F33" i="2" s="1"/>
  <c r="F131" i="18"/>
  <c r="F57" i="2" s="1"/>
  <c r="E117" i="1"/>
  <c r="E59" i="15"/>
  <c r="E136" i="15" s="1"/>
  <c r="E59" i="17"/>
  <c r="E136" i="17" s="1"/>
  <c r="E59" i="1"/>
  <c r="E136" i="1" s="1"/>
  <c r="E59" i="18"/>
  <c r="E136" i="18" s="1"/>
  <c r="E59" i="16"/>
  <c r="E136" i="16" s="1"/>
  <c r="E58" i="5"/>
  <c r="G40" i="15"/>
  <c r="G40" i="18"/>
  <c r="G40" i="17"/>
  <c r="G40" i="16"/>
  <c r="G40" i="1"/>
  <c r="G54" i="16"/>
  <c r="G54" i="17"/>
  <c r="G54" i="1"/>
  <c r="G54" i="18"/>
  <c r="G54" i="15"/>
  <c r="E117" i="16"/>
  <c r="F100" i="5"/>
  <c r="F61" i="5" s="1"/>
  <c r="F98" i="5"/>
  <c r="F59" i="5" s="1"/>
  <c r="H54" i="18"/>
  <c r="H54" i="17"/>
  <c r="H54" i="16"/>
  <c r="H54" i="1"/>
  <c r="H54" i="15"/>
  <c r="H117" i="17"/>
  <c r="H117" i="15"/>
  <c r="H117" i="16"/>
  <c r="F117" i="17"/>
  <c r="F117" i="15"/>
  <c r="F117" i="16"/>
  <c r="F131" i="17"/>
  <c r="F45" i="2" s="1"/>
  <c r="F131" i="15"/>
  <c r="F21" i="2" s="1"/>
  <c r="E117" i="18"/>
  <c r="F101" i="5"/>
  <c r="F62" i="5" s="1"/>
  <c r="F99" i="5"/>
  <c r="F60" i="5" s="1"/>
  <c r="F97" i="5"/>
  <c r="E117" i="17"/>
  <c r="E119" i="18" l="1"/>
  <c r="E127" i="18" s="1"/>
  <c r="F119" i="18"/>
  <c r="F127" i="18" s="1"/>
  <c r="H119" i="18"/>
  <c r="H127" i="18" s="1"/>
  <c r="E119" i="17"/>
  <c r="E127" i="17" s="1"/>
  <c r="F119" i="17"/>
  <c r="F127" i="17" s="1"/>
  <c r="H119" i="17"/>
  <c r="H127" i="17" s="1"/>
  <c r="F119" i="16"/>
  <c r="F127" i="16" s="1"/>
  <c r="H119" i="16"/>
  <c r="H127" i="16" s="1"/>
  <c r="E119" i="16"/>
  <c r="E127" i="16" s="1"/>
  <c r="H119" i="15"/>
  <c r="H127" i="15" s="1"/>
  <c r="F119" i="15"/>
  <c r="F127" i="15" s="1"/>
  <c r="E119" i="1"/>
  <c r="E127" i="1" s="1"/>
  <c r="H119" i="1"/>
  <c r="F119" i="1"/>
  <c r="F105" i="2"/>
  <c r="F98" i="2"/>
  <c r="F91" i="2"/>
  <c r="F84" i="2"/>
  <c r="F77" i="2"/>
  <c r="H50" i="17"/>
  <c r="H50" i="15"/>
  <c r="E50" i="1"/>
  <c r="F50" i="18"/>
  <c r="H50" i="18"/>
  <c r="E50" i="16"/>
  <c r="H50" i="1"/>
  <c r="H50" i="16"/>
  <c r="E50" i="18"/>
  <c r="F50" i="15"/>
  <c r="E50" i="17"/>
  <c r="F50" i="16"/>
  <c r="F50" i="17"/>
  <c r="F50" i="1"/>
  <c r="H99" i="5"/>
  <c r="H60" i="5" s="1"/>
  <c r="G99" i="5"/>
  <c r="G60" i="5" s="1"/>
  <c r="F59" i="18"/>
  <c r="F136" i="18" s="1"/>
  <c r="F59" i="16"/>
  <c r="F136" i="16" s="1"/>
  <c r="F59" i="15"/>
  <c r="F136" i="15" s="1"/>
  <c r="F59" i="17"/>
  <c r="F136" i="17" s="1"/>
  <c r="F59" i="1"/>
  <c r="F136" i="1" s="1"/>
  <c r="F58" i="5"/>
  <c r="H131" i="1"/>
  <c r="H9" i="2" s="1"/>
  <c r="H131" i="17"/>
  <c r="H45" i="2" s="1"/>
  <c r="G131" i="18"/>
  <c r="G57" i="2" s="1"/>
  <c r="G131" i="17"/>
  <c r="G45" i="2" s="1"/>
  <c r="G117" i="16"/>
  <c r="G117" i="18"/>
  <c r="E55" i="1"/>
  <c r="E55" i="18"/>
  <c r="E55" i="16"/>
  <c r="E55" i="15"/>
  <c r="E55" i="17"/>
  <c r="H97" i="5"/>
  <c r="G97" i="5"/>
  <c r="H101" i="5"/>
  <c r="H62" i="5" s="1"/>
  <c r="G101" i="5"/>
  <c r="G62" i="5" s="1"/>
  <c r="H131" i="15"/>
  <c r="H21" i="2" s="1"/>
  <c r="H131" i="16"/>
  <c r="H33" i="2" s="1"/>
  <c r="H131" i="18"/>
  <c r="H57" i="2" s="1"/>
  <c r="H98" i="5"/>
  <c r="H59" i="5" s="1"/>
  <c r="G98" i="5"/>
  <c r="G59" i="5" s="1"/>
  <c r="H100" i="5"/>
  <c r="H61" i="5" s="1"/>
  <c r="G100" i="5"/>
  <c r="G61" i="5" s="1"/>
  <c r="G131" i="15"/>
  <c r="G21" i="2" s="1"/>
  <c r="G131" i="1"/>
  <c r="G9" i="2" s="1"/>
  <c r="G131" i="16"/>
  <c r="G33" i="2" s="1"/>
  <c r="G117" i="1"/>
  <c r="G117" i="17"/>
  <c r="G117" i="15"/>
  <c r="G119" i="18" l="1"/>
  <c r="G127" i="18" s="1"/>
  <c r="G119" i="17"/>
  <c r="G127" i="17" s="1"/>
  <c r="G119" i="16"/>
  <c r="G127" i="16" s="1"/>
  <c r="G119" i="15"/>
  <c r="G127" i="15" s="1"/>
  <c r="F127" i="1"/>
  <c r="H127" i="1"/>
  <c r="G119" i="1"/>
  <c r="H105" i="2"/>
  <c r="G105" i="2"/>
  <c r="H98" i="2"/>
  <c r="G98" i="2"/>
  <c r="H91" i="2"/>
  <c r="G91" i="2"/>
  <c r="H84" i="2"/>
  <c r="G84" i="2"/>
  <c r="G50" i="16"/>
  <c r="G77" i="2"/>
  <c r="H77" i="2"/>
  <c r="G50" i="1"/>
  <c r="G50" i="15"/>
  <c r="H59" i="1"/>
  <c r="H136" i="1" s="1"/>
  <c r="H59" i="18"/>
  <c r="H136" i="18" s="1"/>
  <c r="H59" i="16"/>
  <c r="H136" i="16" s="1"/>
  <c r="H59" i="15"/>
  <c r="H136" i="15" s="1"/>
  <c r="H59" i="17"/>
  <c r="H136" i="17" s="1"/>
  <c r="H58" i="5"/>
  <c r="E132" i="17"/>
  <c r="E132" i="16"/>
  <c r="E132" i="1"/>
  <c r="G50" i="17"/>
  <c r="G59" i="16"/>
  <c r="G136" i="16" s="1"/>
  <c r="G59" i="15"/>
  <c r="G136" i="15" s="1"/>
  <c r="G59" i="17"/>
  <c r="G136" i="17" s="1"/>
  <c r="G59" i="1"/>
  <c r="G136" i="1" s="1"/>
  <c r="G59" i="18"/>
  <c r="G136" i="18" s="1"/>
  <c r="G58" i="5"/>
  <c r="E132" i="15"/>
  <c r="E132" i="18"/>
  <c r="G50" i="18"/>
  <c r="F55" i="17"/>
  <c r="F55" i="16"/>
  <c r="F55" i="1"/>
  <c r="F55" i="15"/>
  <c r="F55" i="18"/>
  <c r="E134" i="18" l="1"/>
  <c r="E142" i="18" s="1"/>
  <c r="E134" i="17"/>
  <c r="E142" i="17" s="1"/>
  <c r="E134" i="15"/>
  <c r="E142" i="15" s="1"/>
  <c r="E134" i="1"/>
  <c r="E142" i="1" s="1"/>
  <c r="G127" i="1"/>
  <c r="E65" i="17"/>
  <c r="E65" i="18"/>
  <c r="E65" i="1"/>
  <c r="F132" i="15"/>
  <c r="F132" i="16"/>
  <c r="H55" i="17"/>
  <c r="H55" i="16"/>
  <c r="H55" i="1"/>
  <c r="H55" i="15"/>
  <c r="H55" i="18"/>
  <c r="E65" i="16"/>
  <c r="E134" i="16"/>
  <c r="E142" i="16" s="1"/>
  <c r="F132" i="18"/>
  <c r="F132" i="1"/>
  <c r="F132" i="17"/>
  <c r="E65" i="15"/>
  <c r="G55" i="18"/>
  <c r="G55" i="17"/>
  <c r="G55" i="16"/>
  <c r="G55" i="1"/>
  <c r="G55" i="15"/>
  <c r="F134" i="18" l="1"/>
  <c r="F134" i="17"/>
  <c r="F142" i="17" s="1"/>
  <c r="F134" i="16"/>
  <c r="F142" i="16" s="1"/>
  <c r="F134" i="15"/>
  <c r="F142" i="15" s="1"/>
  <c r="F134" i="1"/>
  <c r="F65" i="18"/>
  <c r="F65" i="15"/>
  <c r="F65" i="17"/>
  <c r="G132" i="1"/>
  <c r="G132" i="17"/>
  <c r="H132" i="15"/>
  <c r="H132" i="16"/>
  <c r="G132" i="15"/>
  <c r="G132" i="16"/>
  <c r="G132" i="18"/>
  <c r="F65" i="1"/>
  <c r="H132" i="18"/>
  <c r="H132" i="1"/>
  <c r="H132" i="17"/>
  <c r="F65" i="16"/>
  <c r="F142" i="18"/>
  <c r="G134" i="18" l="1"/>
  <c r="H134" i="18"/>
  <c r="H134" i="17"/>
  <c r="H142" i="17" s="1"/>
  <c r="G134" i="17"/>
  <c r="G142" i="17" s="1"/>
  <c r="G134" i="16"/>
  <c r="G142" i="16" s="1"/>
  <c r="H134" i="16"/>
  <c r="H142" i="16" s="1"/>
  <c r="G134" i="15"/>
  <c r="G142" i="15" s="1"/>
  <c r="H134" i="15"/>
  <c r="H142" i="15" s="1"/>
  <c r="F142" i="1"/>
  <c r="H134" i="1"/>
  <c r="G134" i="1"/>
  <c r="H65" i="16"/>
  <c r="H65" i="1"/>
  <c r="H65" i="17"/>
  <c r="H65" i="18"/>
  <c r="G65" i="16"/>
  <c r="G65" i="17"/>
  <c r="G65" i="18"/>
  <c r="G65" i="15"/>
  <c r="H65" i="15"/>
  <c r="G65" i="1"/>
  <c r="H142" i="18"/>
  <c r="G142" i="18"/>
  <c r="G142" i="1" l="1"/>
  <c r="H142" i="1"/>
  <c r="E103" i="5"/>
  <c r="E64" i="5" l="1"/>
  <c r="E85" i="5"/>
  <c r="F103" i="5"/>
  <c r="F64" i="5" l="1"/>
  <c r="E46" i="5"/>
  <c r="H103" i="5"/>
  <c r="G103" i="5"/>
  <c r="F85" i="5"/>
  <c r="H85" i="5" l="1"/>
  <c r="G85" i="5"/>
  <c r="H64" i="5"/>
  <c r="F46" i="5"/>
  <c r="G64" i="5"/>
  <c r="G46" i="5" l="1"/>
  <c r="H46" i="5"/>
  <c r="E81" i="5" l="1"/>
  <c r="E42" i="5" s="1"/>
  <c r="E83" i="5"/>
  <c r="E44" i="5" s="1"/>
  <c r="E105" i="5"/>
  <c r="E66" i="5" s="1"/>
  <c r="E107" i="5"/>
  <c r="E68" i="5" s="1"/>
  <c r="E87" i="5"/>
  <c r="E48" i="5" s="1"/>
  <c r="E89" i="5"/>
  <c r="E50" i="5" s="1"/>
  <c r="E80" i="5"/>
  <c r="E82" i="5"/>
  <c r="E43" i="5" s="1"/>
  <c r="E104" i="5"/>
  <c r="E65" i="5" s="1"/>
  <c r="E106" i="5"/>
  <c r="E67" i="5" s="1"/>
  <c r="E86" i="5"/>
  <c r="E88" i="5"/>
  <c r="E49" i="5" s="1"/>
  <c r="E47" i="5" l="1"/>
  <c r="E29" i="17"/>
  <c r="E106" i="17" s="1"/>
  <c r="E29" i="15"/>
  <c r="E106" i="15" s="1"/>
  <c r="E29" i="16"/>
  <c r="E106" i="16" s="1"/>
  <c r="E29" i="18"/>
  <c r="E106" i="18" s="1"/>
  <c r="E29" i="1"/>
  <c r="E106" i="1" s="1"/>
  <c r="E74" i="15"/>
  <c r="E151" i="15" s="1"/>
  <c r="E74" i="1"/>
  <c r="E151" i="1" s="1"/>
  <c r="E74" i="16"/>
  <c r="E151" i="16" s="1"/>
  <c r="E74" i="18"/>
  <c r="E151" i="18" s="1"/>
  <c r="E74" i="17"/>
  <c r="E151" i="17" s="1"/>
  <c r="E41" i="5"/>
  <c r="E14" i="16"/>
  <c r="E91" i="16" s="1"/>
  <c r="E14" i="17"/>
  <c r="E91" i="17" s="1"/>
  <c r="E14" i="18"/>
  <c r="E91" i="18" s="1"/>
  <c r="E14" i="15"/>
  <c r="E91" i="15" s="1"/>
  <c r="E14" i="1"/>
  <c r="F88" i="5"/>
  <c r="F49" i="5" s="1"/>
  <c r="F86" i="5"/>
  <c r="F106" i="5"/>
  <c r="F67" i="5" s="1"/>
  <c r="F104" i="5"/>
  <c r="F65" i="5" s="1"/>
  <c r="F82" i="5"/>
  <c r="F43" i="5" s="1"/>
  <c r="F80" i="5"/>
  <c r="F89" i="5"/>
  <c r="F50" i="5" s="1"/>
  <c r="F87" i="5"/>
  <c r="F48" i="5" s="1"/>
  <c r="F107" i="5"/>
  <c r="F68" i="5" s="1"/>
  <c r="F105" i="5"/>
  <c r="F66" i="5" s="1"/>
  <c r="F83" i="5"/>
  <c r="F44" i="5" s="1"/>
  <c r="F81" i="5"/>
  <c r="F42" i="5" s="1"/>
  <c r="E91" i="1" l="1"/>
  <c r="E13" i="2" s="1"/>
  <c r="E49" i="2"/>
  <c r="E25" i="2"/>
  <c r="E61" i="2"/>
  <c r="E37" i="2"/>
  <c r="F74" i="16"/>
  <c r="F151" i="16" s="1"/>
  <c r="F74" i="15"/>
  <c r="F151" i="15" s="1"/>
  <c r="F74" i="18"/>
  <c r="F151" i="18" s="1"/>
  <c r="F74" i="17"/>
  <c r="F151" i="17" s="1"/>
  <c r="F74" i="1"/>
  <c r="F151" i="1" s="1"/>
  <c r="F47" i="5"/>
  <c r="F29" i="15"/>
  <c r="F106" i="15" s="1"/>
  <c r="F29" i="16"/>
  <c r="F106" i="16" s="1"/>
  <c r="F29" i="18"/>
  <c r="F106" i="18" s="1"/>
  <c r="F29" i="1"/>
  <c r="F106" i="1" s="1"/>
  <c r="F29" i="17"/>
  <c r="F106" i="17" s="1"/>
  <c r="F41" i="5"/>
  <c r="F14" i="17"/>
  <c r="F91" i="17" s="1"/>
  <c r="F49" i="2" s="1"/>
  <c r="F14" i="18"/>
  <c r="F91" i="18" s="1"/>
  <c r="F14" i="15"/>
  <c r="F91" i="15" s="1"/>
  <c r="F25" i="2" s="1"/>
  <c r="F14" i="1"/>
  <c r="F14" i="16"/>
  <c r="F91" i="16" s="1"/>
  <c r="F37" i="2" s="1"/>
  <c r="H81" i="5"/>
  <c r="H42" i="5" s="1"/>
  <c r="G81" i="5"/>
  <c r="G42" i="5" s="1"/>
  <c r="H83" i="5"/>
  <c r="H44" i="5" s="1"/>
  <c r="G83" i="5"/>
  <c r="G44" i="5" s="1"/>
  <c r="H105" i="5"/>
  <c r="H66" i="5" s="1"/>
  <c r="G105" i="5"/>
  <c r="G66" i="5" s="1"/>
  <c r="H107" i="5"/>
  <c r="H68" i="5" s="1"/>
  <c r="G107" i="5"/>
  <c r="G68" i="5" s="1"/>
  <c r="H87" i="5"/>
  <c r="H48" i="5" s="1"/>
  <c r="G87" i="5"/>
  <c r="G48" i="5" s="1"/>
  <c r="H89" i="5"/>
  <c r="H50" i="5" s="1"/>
  <c r="G89" i="5"/>
  <c r="G50" i="5" s="1"/>
  <c r="H80" i="5"/>
  <c r="G80" i="5"/>
  <c r="H82" i="5"/>
  <c r="H43" i="5" s="1"/>
  <c r="G82" i="5"/>
  <c r="G43" i="5" s="1"/>
  <c r="H104" i="5"/>
  <c r="H65" i="5" s="1"/>
  <c r="G104" i="5"/>
  <c r="G65" i="5" s="1"/>
  <c r="H106" i="5"/>
  <c r="H67" i="5" s="1"/>
  <c r="G106" i="5"/>
  <c r="G67" i="5" s="1"/>
  <c r="H86" i="5"/>
  <c r="G86" i="5"/>
  <c r="H88" i="5"/>
  <c r="H49" i="5" s="1"/>
  <c r="G88" i="5"/>
  <c r="G49" i="5" s="1"/>
  <c r="E10" i="15"/>
  <c r="E10" i="1"/>
  <c r="E10" i="16"/>
  <c r="E10" i="17"/>
  <c r="E10" i="18"/>
  <c r="E70" i="1"/>
  <c r="E70" i="16"/>
  <c r="E70" i="17"/>
  <c r="E70" i="18"/>
  <c r="E70" i="15"/>
  <c r="E25" i="1"/>
  <c r="E25" i="17"/>
  <c r="E25" i="16"/>
  <c r="E25" i="15"/>
  <c r="E25" i="18"/>
  <c r="E12" i="1" l="1"/>
  <c r="F91" i="1"/>
  <c r="F13" i="2" s="1"/>
  <c r="F61" i="2"/>
  <c r="E149" i="17"/>
  <c r="E89" i="16"/>
  <c r="E102" i="15"/>
  <c r="E102" i="17"/>
  <c r="E147" i="15"/>
  <c r="E147" i="17"/>
  <c r="E147" i="1"/>
  <c r="E87" i="17"/>
  <c r="E87" i="1"/>
  <c r="G47" i="5"/>
  <c r="G29" i="17"/>
  <c r="G106" i="17" s="1"/>
  <c r="G29" i="15"/>
  <c r="G106" i="15" s="1"/>
  <c r="G29" i="16"/>
  <c r="G106" i="16" s="1"/>
  <c r="G29" i="18"/>
  <c r="G106" i="18" s="1"/>
  <c r="G29" i="1"/>
  <c r="G106" i="1" s="1"/>
  <c r="G74" i="16"/>
  <c r="G151" i="16" s="1"/>
  <c r="G74" i="18"/>
  <c r="G151" i="18" s="1"/>
  <c r="G74" i="17"/>
  <c r="G151" i="17" s="1"/>
  <c r="G74" i="15"/>
  <c r="G151" i="15" s="1"/>
  <c r="G74" i="1"/>
  <c r="G151" i="1" s="1"/>
  <c r="G41" i="5"/>
  <c r="G14" i="15"/>
  <c r="G91" i="15" s="1"/>
  <c r="G14" i="16"/>
  <c r="G91" i="16" s="1"/>
  <c r="G14" i="18"/>
  <c r="G91" i="18" s="1"/>
  <c r="G14" i="17"/>
  <c r="G91" i="17" s="1"/>
  <c r="G14" i="1"/>
  <c r="E102" i="18"/>
  <c r="E102" i="16"/>
  <c r="E102" i="1"/>
  <c r="E147" i="18"/>
  <c r="E147" i="16"/>
  <c r="E87" i="18"/>
  <c r="E87" i="16"/>
  <c r="E87" i="15"/>
  <c r="H47" i="5"/>
  <c r="H29" i="16"/>
  <c r="H106" i="16" s="1"/>
  <c r="H29" i="18"/>
  <c r="H106" i="18" s="1"/>
  <c r="H29" i="1"/>
  <c r="H106" i="1" s="1"/>
  <c r="H29" i="17"/>
  <c r="H106" i="17" s="1"/>
  <c r="H29" i="15"/>
  <c r="H106" i="15" s="1"/>
  <c r="H74" i="16"/>
  <c r="H151" i="16" s="1"/>
  <c r="H74" i="18"/>
  <c r="H151" i="18" s="1"/>
  <c r="H74" i="1"/>
  <c r="H151" i="1" s="1"/>
  <c r="H74" i="17"/>
  <c r="H151" i="17" s="1"/>
  <c r="H74" i="15"/>
  <c r="H151" i="15" s="1"/>
  <c r="H41" i="5"/>
  <c r="H14" i="18"/>
  <c r="H91" i="18" s="1"/>
  <c r="H14" i="1"/>
  <c r="H14" i="17"/>
  <c r="H91" i="17" s="1"/>
  <c r="H14" i="15"/>
  <c r="H91" i="15" s="1"/>
  <c r="H14" i="16"/>
  <c r="H91" i="16" s="1"/>
  <c r="F10" i="1"/>
  <c r="F10" i="18"/>
  <c r="F10" i="16"/>
  <c r="F10" i="15"/>
  <c r="F10" i="17"/>
  <c r="F25" i="16"/>
  <c r="F25" i="15"/>
  <c r="F25" i="17"/>
  <c r="F25" i="1"/>
  <c r="F25" i="18"/>
  <c r="F70" i="1"/>
  <c r="F70" i="18"/>
  <c r="F70" i="16"/>
  <c r="F70" i="15"/>
  <c r="F70" i="17"/>
  <c r="E149" i="18" l="1"/>
  <c r="E157" i="18" s="1"/>
  <c r="E104" i="18"/>
  <c r="E112" i="18" s="1"/>
  <c r="E89" i="18"/>
  <c r="E104" i="17"/>
  <c r="E89" i="17"/>
  <c r="E97" i="17" s="1"/>
  <c r="E149" i="16"/>
  <c r="E157" i="16" s="1"/>
  <c r="E104" i="16"/>
  <c r="E112" i="16" s="1"/>
  <c r="E149" i="15"/>
  <c r="E157" i="15" s="1"/>
  <c r="E104" i="15"/>
  <c r="E112" i="15" s="1"/>
  <c r="E89" i="15"/>
  <c r="E97" i="15" s="1"/>
  <c r="F12" i="1"/>
  <c r="E35" i="15"/>
  <c r="E104" i="1"/>
  <c r="E112" i="1" s="1"/>
  <c r="E89" i="1"/>
  <c r="E149" i="1"/>
  <c r="E157" i="1" s="1"/>
  <c r="H91" i="1"/>
  <c r="G91" i="1"/>
  <c r="G13" i="2" s="1"/>
  <c r="E22" i="2"/>
  <c r="G61" i="2"/>
  <c r="G25" i="2"/>
  <c r="H37" i="2"/>
  <c r="H49" i="2"/>
  <c r="H61" i="2"/>
  <c r="G49" i="2"/>
  <c r="G37" i="2"/>
  <c r="E58" i="2"/>
  <c r="E46" i="2"/>
  <c r="E10" i="2"/>
  <c r="H25" i="2"/>
  <c r="H13" i="2"/>
  <c r="E34" i="2"/>
  <c r="E35" i="16"/>
  <c r="E20" i="18"/>
  <c r="E80" i="1"/>
  <c r="E20" i="15"/>
  <c r="E80" i="18"/>
  <c r="E20" i="1"/>
  <c r="E80" i="15"/>
  <c r="E20" i="16"/>
  <c r="E80" i="16"/>
  <c r="E35" i="1"/>
  <c r="E35" i="18"/>
  <c r="E20" i="17"/>
  <c r="E80" i="17"/>
  <c r="E35" i="17"/>
  <c r="F149" i="17"/>
  <c r="F147" i="16"/>
  <c r="F147" i="1"/>
  <c r="F102" i="1"/>
  <c r="F102" i="15"/>
  <c r="F87" i="17"/>
  <c r="F87" i="16"/>
  <c r="F87" i="1"/>
  <c r="H10" i="16"/>
  <c r="H10" i="15"/>
  <c r="H10" i="17"/>
  <c r="H10" i="1"/>
  <c r="H10" i="18"/>
  <c r="H70" i="18"/>
  <c r="H70" i="16"/>
  <c r="H70" i="15"/>
  <c r="H70" i="17"/>
  <c r="H70" i="1"/>
  <c r="H25" i="17"/>
  <c r="H25" i="1"/>
  <c r="H25" i="18"/>
  <c r="H25" i="16"/>
  <c r="H25" i="15"/>
  <c r="G10" i="17"/>
  <c r="G10" i="18"/>
  <c r="G10" i="16"/>
  <c r="G10" i="15"/>
  <c r="G10" i="1"/>
  <c r="G70" i="17"/>
  <c r="G70" i="1"/>
  <c r="G70" i="18"/>
  <c r="G70" i="16"/>
  <c r="G70" i="15"/>
  <c r="G25" i="17"/>
  <c r="G25" i="1"/>
  <c r="G25" i="18"/>
  <c r="G25" i="16"/>
  <c r="G25" i="15"/>
  <c r="E97" i="16"/>
  <c r="E157" i="17"/>
  <c r="F147" i="17"/>
  <c r="F147" i="15"/>
  <c r="F147" i="18"/>
  <c r="F102" i="18"/>
  <c r="F102" i="17"/>
  <c r="F102" i="16"/>
  <c r="F87" i="15"/>
  <c r="F87" i="18"/>
  <c r="E106" i="2" l="1"/>
  <c r="E99" i="2"/>
  <c r="E92" i="2"/>
  <c r="E85" i="2"/>
  <c r="E78" i="2"/>
  <c r="F149" i="18"/>
  <c r="E59" i="2"/>
  <c r="E107" i="2" s="1"/>
  <c r="E97" i="18"/>
  <c r="F104" i="18"/>
  <c r="F112" i="18" s="1"/>
  <c r="F89" i="18"/>
  <c r="F97" i="18" s="1"/>
  <c r="E35" i="2"/>
  <c r="E93" i="2" s="1"/>
  <c r="E47" i="2"/>
  <c r="E100" i="2" s="1"/>
  <c r="E112" i="17"/>
  <c r="F104" i="17"/>
  <c r="F112" i="17" s="1"/>
  <c r="F89" i="17"/>
  <c r="F97" i="17" s="1"/>
  <c r="F149" i="16"/>
  <c r="F157" i="16" s="1"/>
  <c r="F104" i="16"/>
  <c r="F112" i="16" s="1"/>
  <c r="F89" i="16"/>
  <c r="F97" i="16" s="1"/>
  <c r="E23" i="2"/>
  <c r="E86" i="2" s="1"/>
  <c r="F149" i="15"/>
  <c r="F157" i="15" s="1"/>
  <c r="F104" i="15"/>
  <c r="F112" i="15" s="1"/>
  <c r="F89" i="15"/>
  <c r="G12" i="1"/>
  <c r="E11" i="2"/>
  <c r="E79" i="2" s="1"/>
  <c r="E97" i="1"/>
  <c r="F149" i="1"/>
  <c r="F104" i="1"/>
  <c r="F89" i="1"/>
  <c r="F10" i="2"/>
  <c r="F22" i="2"/>
  <c r="F58" i="2"/>
  <c r="F46" i="2"/>
  <c r="F34" i="2"/>
  <c r="F80" i="16"/>
  <c r="F80" i="15"/>
  <c r="F157" i="18"/>
  <c r="F35" i="16"/>
  <c r="F20" i="17"/>
  <c r="F20" i="18"/>
  <c r="F35" i="18"/>
  <c r="F20" i="1"/>
  <c r="F35" i="1"/>
  <c r="F157" i="17"/>
  <c r="F20" i="15"/>
  <c r="F35" i="17"/>
  <c r="F80" i="18"/>
  <c r="F80" i="17"/>
  <c r="F20" i="16"/>
  <c r="F35" i="15"/>
  <c r="F80" i="1"/>
  <c r="G149" i="17"/>
  <c r="H149" i="17"/>
  <c r="G102" i="16"/>
  <c r="G102" i="1"/>
  <c r="G147" i="15"/>
  <c r="G147" i="18"/>
  <c r="G147" i="17"/>
  <c r="G87" i="15"/>
  <c r="G87" i="18"/>
  <c r="H102" i="15"/>
  <c r="H102" i="18"/>
  <c r="H102" i="17"/>
  <c r="H147" i="17"/>
  <c r="H147" i="16"/>
  <c r="H87" i="18"/>
  <c r="H87" i="17"/>
  <c r="H87" i="16"/>
  <c r="G102" i="15"/>
  <c r="G102" i="18"/>
  <c r="G102" i="17"/>
  <c r="G147" i="16"/>
  <c r="G147" i="1"/>
  <c r="G87" i="1"/>
  <c r="G87" i="16"/>
  <c r="G87" i="17"/>
  <c r="H102" i="16"/>
  <c r="H102" i="1"/>
  <c r="H147" i="1"/>
  <c r="H147" i="15"/>
  <c r="H147" i="18"/>
  <c r="H87" i="1"/>
  <c r="H87" i="15"/>
  <c r="F59" i="2" l="1"/>
  <c r="F107" i="2" s="1"/>
  <c r="F106" i="2"/>
  <c r="F99" i="2"/>
  <c r="F92" i="2"/>
  <c r="F85" i="2"/>
  <c r="F78" i="2"/>
  <c r="G149" i="18"/>
  <c r="G157" i="18" s="1"/>
  <c r="H149" i="18"/>
  <c r="F47" i="2"/>
  <c r="F100" i="2" s="1"/>
  <c r="G104" i="18"/>
  <c r="G112" i="18" s="1"/>
  <c r="H104" i="18"/>
  <c r="H112" i="18" s="1"/>
  <c r="H89" i="18"/>
  <c r="G89" i="18"/>
  <c r="G97" i="18" s="1"/>
  <c r="H104" i="17"/>
  <c r="H112" i="17" s="1"/>
  <c r="G104" i="17"/>
  <c r="G112" i="17" s="1"/>
  <c r="H89" i="17"/>
  <c r="H97" i="17" s="1"/>
  <c r="G89" i="17"/>
  <c r="G97" i="17" s="1"/>
  <c r="H149" i="16"/>
  <c r="H157" i="16" s="1"/>
  <c r="G149" i="16"/>
  <c r="G157" i="16" s="1"/>
  <c r="F35" i="2"/>
  <c r="F93" i="2" s="1"/>
  <c r="H104" i="16"/>
  <c r="H112" i="16" s="1"/>
  <c r="G104" i="16"/>
  <c r="G112" i="16" s="1"/>
  <c r="G89" i="16"/>
  <c r="G97" i="16" s="1"/>
  <c r="H89" i="16"/>
  <c r="H97" i="16" s="1"/>
  <c r="F23" i="2"/>
  <c r="F86" i="2" s="1"/>
  <c r="F97" i="15"/>
  <c r="H149" i="15"/>
  <c r="H157" i="15" s="1"/>
  <c r="G149" i="15"/>
  <c r="G157" i="15" s="1"/>
  <c r="G104" i="15"/>
  <c r="G112" i="15" s="1"/>
  <c r="H104" i="15"/>
  <c r="H112" i="15" s="1"/>
  <c r="H89" i="15"/>
  <c r="G89" i="15"/>
  <c r="F112" i="1"/>
  <c r="F157" i="1"/>
  <c r="F11" i="2"/>
  <c r="F79" i="2" s="1"/>
  <c r="F97" i="1"/>
  <c r="H89" i="1"/>
  <c r="H104" i="1"/>
  <c r="H149" i="1"/>
  <c r="H157" i="1" s="1"/>
  <c r="G149" i="1"/>
  <c r="G157" i="1" s="1"/>
  <c r="G104" i="1"/>
  <c r="G89" i="1"/>
  <c r="H22" i="2"/>
  <c r="G34" i="2"/>
  <c r="H10" i="2"/>
  <c r="G46" i="2"/>
  <c r="G10" i="2"/>
  <c r="H46" i="2"/>
  <c r="G22" i="2"/>
  <c r="H34" i="2"/>
  <c r="H58" i="2"/>
  <c r="G58" i="2"/>
  <c r="G47" i="2"/>
  <c r="G100" i="2" s="1"/>
  <c r="H47" i="2"/>
  <c r="H100" i="2" s="1"/>
  <c r="H80" i="17"/>
  <c r="G157" i="17"/>
  <c r="H80" i="15"/>
  <c r="G80" i="16"/>
  <c r="G20" i="17"/>
  <c r="H20" i="16"/>
  <c r="G80" i="18"/>
  <c r="H157" i="18"/>
  <c r="G20" i="15"/>
  <c r="G35" i="1"/>
  <c r="H20" i="1"/>
  <c r="H35" i="1"/>
  <c r="G20" i="1"/>
  <c r="G35" i="18"/>
  <c r="H20" i="18"/>
  <c r="H157" i="17"/>
  <c r="H35" i="18"/>
  <c r="G20" i="18"/>
  <c r="G80" i="17"/>
  <c r="G80" i="15"/>
  <c r="G35" i="16"/>
  <c r="H20" i="15"/>
  <c r="H80" i="18"/>
  <c r="H80" i="1"/>
  <c r="H35" i="16"/>
  <c r="G20" i="16"/>
  <c r="G80" i="1"/>
  <c r="G35" i="17"/>
  <c r="G35" i="15"/>
  <c r="H20" i="17"/>
  <c r="H80" i="16"/>
  <c r="H35" i="17"/>
  <c r="H35" i="15"/>
  <c r="H106" i="2" l="1"/>
  <c r="G106" i="2"/>
  <c r="H99" i="2"/>
  <c r="G99" i="2"/>
  <c r="H92" i="2"/>
  <c r="G92" i="2"/>
  <c r="G85" i="2"/>
  <c r="H85" i="2"/>
  <c r="G78" i="2"/>
  <c r="H78" i="2"/>
  <c r="H59" i="2"/>
  <c r="H107" i="2" s="1"/>
  <c r="G59" i="2"/>
  <c r="G107" i="2" s="1"/>
  <c r="H97" i="18"/>
  <c r="H35" i="2"/>
  <c r="H93" i="2" s="1"/>
  <c r="G35" i="2"/>
  <c r="G93" i="2" s="1"/>
  <c r="H23" i="2"/>
  <c r="H86" i="2" s="1"/>
  <c r="G23" i="2"/>
  <c r="G86" i="2" s="1"/>
  <c r="G97" i="15"/>
  <c r="H97" i="15"/>
  <c r="H112" i="1"/>
  <c r="G112" i="1"/>
  <c r="G97" i="1"/>
  <c r="H11" i="2"/>
  <c r="H79" i="2" s="1"/>
  <c r="G11" i="2"/>
  <c r="G79" i="2" s="1"/>
  <c r="H97" i="1"/>
  <c r="H66" i="2" l="1"/>
  <c r="G66" i="2"/>
  <c r="G54" i="2"/>
  <c r="H54" i="2"/>
  <c r="H101" i="2" l="1"/>
  <c r="G73" i="2"/>
  <c r="G74" i="2"/>
  <c r="H74" i="2"/>
  <c r="H73" i="2"/>
  <c r="G101" i="2"/>
  <c r="G108" i="2"/>
  <c r="H108" i="2"/>
  <c r="G109" i="2" l="1"/>
  <c r="H109" i="2"/>
  <c r="G102" i="2"/>
  <c r="H102" i="2"/>
  <c r="E18" i="2"/>
  <c r="E108" i="2"/>
  <c r="E66" i="2"/>
  <c r="E87" i="2"/>
  <c r="E30" i="2"/>
  <c r="E101" i="2"/>
  <c r="E54" i="2"/>
  <c r="E94" i="2"/>
  <c r="E42" i="2"/>
  <c r="E102" i="2" l="1"/>
  <c r="E73" i="2"/>
  <c r="E109" i="2"/>
  <c r="E74" i="2"/>
  <c r="F94" i="2"/>
  <c r="F42" i="2"/>
  <c r="F87" i="2"/>
  <c r="F30" i="2"/>
  <c r="F101" i="2"/>
  <c r="F54" i="2"/>
  <c r="F80" i="2"/>
  <c r="F18" i="2"/>
  <c r="F108" i="2"/>
  <c r="F66" i="2"/>
  <c r="E95" i="2"/>
  <c r="E72" i="2"/>
  <c r="E88" i="2"/>
  <c r="E71" i="2"/>
  <c r="E70" i="2"/>
  <c r="E80" i="2"/>
  <c r="F81" i="2" l="1"/>
  <c r="F70" i="2"/>
  <c r="H94" i="2"/>
  <c r="H42" i="2"/>
  <c r="G80" i="2"/>
  <c r="G18" i="2"/>
  <c r="H18" i="2"/>
  <c r="F88" i="2"/>
  <c r="F71" i="2"/>
  <c r="G87" i="2"/>
  <c r="G30" i="2"/>
  <c r="G94" i="2"/>
  <c r="G42" i="2"/>
  <c r="H87" i="2"/>
  <c r="H30" i="2"/>
  <c r="E81" i="2"/>
  <c r="F109" i="2"/>
  <c r="F74" i="2"/>
  <c r="F102" i="2"/>
  <c r="F73" i="2"/>
  <c r="F95" i="2"/>
  <c r="F72" i="2"/>
  <c r="H88" i="2" l="1"/>
  <c r="H71" i="2"/>
  <c r="G88" i="2"/>
  <c r="G71" i="2"/>
  <c r="H70" i="2"/>
  <c r="H80" i="2"/>
  <c r="H95" i="2"/>
  <c r="H72" i="2"/>
  <c r="G95" i="2"/>
  <c r="G72" i="2"/>
  <c r="G81" i="2"/>
  <c r="G70" i="2"/>
  <c r="H81" i="2" l="1"/>
</calcChain>
</file>

<file path=xl/sharedStrings.xml><?xml version="1.0" encoding="utf-8"?>
<sst xmlns="http://schemas.openxmlformats.org/spreadsheetml/2006/main" count="2597" uniqueCount="157">
  <si>
    <t>Inputs</t>
  </si>
  <si>
    <t>Wholesale</t>
  </si>
  <si>
    <t>2014/15</t>
  </si>
  <si>
    <t>2012/13</t>
  </si>
  <si>
    <t>2011/12</t>
  </si>
  <si>
    <t>2010/11</t>
  </si>
  <si>
    <t>Customer Numbers</t>
  </si>
  <si>
    <t>Consumption Volumes</t>
  </si>
  <si>
    <t>Value</t>
  </si>
  <si>
    <t>Numbers</t>
  </si>
  <si>
    <t>Source</t>
  </si>
  <si>
    <t>c/kwh</t>
  </si>
  <si>
    <t>Distribution Cost</t>
  </si>
  <si>
    <t>Feed In Tariff</t>
  </si>
  <si>
    <t>kWh/pa</t>
  </si>
  <si>
    <t>LRET</t>
  </si>
  <si>
    <t>SRES</t>
  </si>
  <si>
    <t>Standing</t>
  </si>
  <si>
    <t>Block 1</t>
  </si>
  <si>
    <t>Block 2</t>
  </si>
  <si>
    <t>Block 3</t>
  </si>
  <si>
    <t>Proportion of consumption</t>
  </si>
  <si>
    <t>percent</t>
  </si>
  <si>
    <t>AER Data</t>
  </si>
  <si>
    <t>Calculation</t>
  </si>
  <si>
    <t>TUOS (3rd step)</t>
  </si>
  <si>
    <t>X factor</t>
  </si>
  <si>
    <t>Growth factor</t>
  </si>
  <si>
    <t>c/pa</t>
  </si>
  <si>
    <t>DUOS</t>
  </si>
  <si>
    <t>Input</t>
  </si>
  <si>
    <t>Output</t>
  </si>
  <si>
    <t>Ratio for tariff blocks</t>
  </si>
  <si>
    <t>1st Step</t>
  </si>
  <si>
    <t>2nd Step</t>
  </si>
  <si>
    <t>3rd Step</t>
  </si>
  <si>
    <t>calculation</t>
  </si>
  <si>
    <t>Average Bill</t>
  </si>
  <si>
    <t>Distribution</t>
  </si>
  <si>
    <t>Transmission</t>
  </si>
  <si>
    <t>Green Schemes</t>
  </si>
  <si>
    <t>cents nominal</t>
  </si>
  <si>
    <t>Index</t>
  </si>
  <si>
    <t>Global Inputs</t>
  </si>
  <si>
    <t>Business Inputs</t>
  </si>
  <si>
    <t>Calculations</t>
  </si>
  <si>
    <t>Outputs</t>
  </si>
  <si>
    <t>Notes</t>
  </si>
  <si>
    <t>Version control</t>
  </si>
  <si>
    <t>Author</t>
  </si>
  <si>
    <t>Comments (additions/corrections)</t>
  </si>
  <si>
    <t>Date</t>
  </si>
  <si>
    <t>Creation of sheet</t>
  </si>
  <si>
    <t>Total</t>
  </si>
  <si>
    <t>Average Tariff</t>
  </si>
  <si>
    <t>cents/pa</t>
  </si>
  <si>
    <t>2013/14</t>
  </si>
  <si>
    <t>Name</t>
  </si>
  <si>
    <t>X Factor</t>
  </si>
  <si>
    <t>Forecast inflation</t>
  </si>
  <si>
    <t>Feed-in Tariffs</t>
  </si>
  <si>
    <t>State Based Green Schemes</t>
  </si>
  <si>
    <t>Retail operating Cost</t>
  </si>
  <si>
    <t>c/kWh</t>
  </si>
  <si>
    <t>Supply charge (DUOS)</t>
  </si>
  <si>
    <t>$/mWh</t>
  </si>
  <si>
    <t>Ratio of Distribution regions</t>
  </si>
  <si>
    <t>Small scale renewable energy scheme</t>
  </si>
  <si>
    <t>Feed in Tariffs</t>
  </si>
  <si>
    <t>DUOS (1st step)</t>
  </si>
  <si>
    <t>DUOS (2nd step)</t>
  </si>
  <si>
    <t>kWh</t>
  </si>
  <si>
    <t>Generation</t>
  </si>
  <si>
    <t>Dropdown lists</t>
  </si>
  <si>
    <t>Yes</t>
  </si>
  <si>
    <t>No</t>
  </si>
  <si>
    <t>Total generation costs</t>
  </si>
  <si>
    <t>Cost base for retail margin</t>
  </si>
  <si>
    <t>Are network costs excluded from retail margin?</t>
  </si>
  <si>
    <t>DUOS (3rd step)</t>
  </si>
  <si>
    <t>TUOS (4th step)</t>
  </si>
  <si>
    <t>Block 4</t>
  </si>
  <si>
    <t>4th Step</t>
  </si>
  <si>
    <t>Metering</t>
  </si>
  <si>
    <t>Cost</t>
  </si>
  <si>
    <t>Metering X factor</t>
  </si>
  <si>
    <t>Is the Feed-in Tariff incorporated in the DNSP cost</t>
  </si>
  <si>
    <t>DUOS (4th step)</t>
  </si>
  <si>
    <t>Large Scale Renewable Energy Target</t>
  </si>
  <si>
    <t>Small Scale Renewable Energy Scheme</t>
  </si>
  <si>
    <t>Check</t>
  </si>
  <si>
    <t>Carbon costs</t>
  </si>
  <si>
    <t xml:space="preserve"> </t>
  </si>
  <si>
    <t>All prices are exclusive of GST</t>
  </si>
  <si>
    <t>All prices for 2009-10, 2010-11, 2011-12 and 2012-13 are actuals. 2013-14 and 2014-15 are estimates</t>
  </si>
  <si>
    <t>Network and Customer data provided on calendar year basis.  Converted to financial year using simple average</t>
  </si>
  <si>
    <t>Supply charge (TUOS)</t>
  </si>
  <si>
    <t>TUOS (1st step)</t>
  </si>
  <si>
    <t>TUOS (2nd step)</t>
  </si>
  <si>
    <t>WEC</t>
  </si>
  <si>
    <t xml:space="preserve">Losses </t>
  </si>
  <si>
    <t>Carbon</t>
  </si>
  <si>
    <t>$/mWh are converted to c/kWh by multiplying by 100/1000</t>
  </si>
  <si>
    <t>$/kWh are converted to c/kWh by multiplying by 100</t>
  </si>
  <si>
    <t>For all projected years the AER multiplied the DUOS by (1+inflation) x (1-X factor) the AEMC has copied this methodology utilising AEMC model consistent inflation and consumption rather than adopt the AER's values</t>
  </si>
  <si>
    <t>For all projected years the AER multiplied the TUOS by (1+inflation) x (1-X factor) /(1+ growth factor) the AEMC has copied this methodology utilising AEMC model consistent inflation and consumption rather than adopt the AER's values</t>
  </si>
  <si>
    <t>Graphs</t>
  </si>
  <si>
    <t>Tables for document</t>
  </si>
  <si>
    <t>Fixed</t>
  </si>
  <si>
    <t>Frontier Nominal (c/kwh)</t>
  </si>
  <si>
    <t xml:space="preserve">Market Fees </t>
  </si>
  <si>
    <t>Ancillary Services</t>
  </si>
  <si>
    <t>Which Jurisdiction approach?</t>
  </si>
  <si>
    <t>Frontier Trend</t>
  </si>
  <si>
    <t>Frontier Number</t>
  </si>
  <si>
    <t>CPI</t>
  </si>
  <si>
    <t>Market Fees</t>
  </si>
  <si>
    <t>Transmission cost by distribution region</t>
  </si>
  <si>
    <t>Retail by distribution region</t>
  </si>
  <si>
    <t>Wholesale cost by distribution region</t>
  </si>
  <si>
    <t>Wholesale cost projection</t>
  </si>
  <si>
    <t>Switches</t>
  </si>
  <si>
    <t>Frontier Source ($/mWh)</t>
  </si>
  <si>
    <t>Is the carbon cost included in source generation prices in this year</t>
  </si>
  <si>
    <t>cents/year</t>
  </si>
  <si>
    <t>c/KWh</t>
  </si>
  <si>
    <t>Retail margin is the balancing item between other cost components and the total price as provided by St Vincent de Paul for the 2012/13 year based on standing offer tariffs</t>
  </si>
  <si>
    <t>AEMC</t>
  </si>
  <si>
    <t>Citipower</t>
  </si>
  <si>
    <t>Powercor</t>
  </si>
  <si>
    <t>SP Ausnet</t>
  </si>
  <si>
    <t>United</t>
  </si>
  <si>
    <t>Jemena</t>
  </si>
  <si>
    <t>SP Ausnet Transmission</t>
  </si>
  <si>
    <t>AER</t>
  </si>
  <si>
    <t>blank</t>
  </si>
  <si>
    <t>Frontier</t>
  </si>
  <si>
    <t>$/pa</t>
  </si>
  <si>
    <t>$/kWh</t>
  </si>
  <si>
    <t>AEMC report 2011</t>
  </si>
  <si>
    <t>Vic</t>
  </si>
  <si>
    <t>Goal Seek</t>
  </si>
  <si>
    <t>2012/13 jurisdiction data are taken from 2011 report. The carbon price for 2012/13 was supplied by Department of Climate Change</t>
  </si>
  <si>
    <t>Energy Saver Incentive</t>
  </si>
  <si>
    <t>Wholesale cost, retail operating costs and retail margins summed together under retail and residual</t>
  </si>
  <si>
    <t>Cost base for retail margin manually inputted due to values changing when wholesale and retail was combined</t>
  </si>
  <si>
    <t>Department of Climate Change</t>
  </si>
  <si>
    <t>Network prices are based on the AER determination adjusted for VIC outcomes</t>
  </si>
  <si>
    <t>Distributors</t>
  </si>
  <si>
    <t>Distributor 1</t>
  </si>
  <si>
    <t>Distributor 2</t>
  </si>
  <si>
    <t>Distributor 3</t>
  </si>
  <si>
    <t>Distributor 4</t>
  </si>
  <si>
    <t>Distributor 5</t>
  </si>
  <si>
    <t>Retail Operating Cost and Margin</t>
  </si>
  <si>
    <t>Retail And Wholesale</t>
  </si>
  <si>
    <t>Retail and Wholesale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</si>
</sst>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_);_(@_)"/>
    <numFmt numFmtId="165" formatCode="_(* #,##0_);_(* \(#,##0\);_(* &quot;-&quot;_);_(@_)"/>
    <numFmt numFmtId="166" formatCode="0.0%"/>
    <numFmt numFmtId="167" formatCode="_-* #,##0_-;\-* #,##0_-;_-* &quot;-&quot;??_-;_-@_-"/>
    <numFmt numFmtId="168" formatCode="_-&quot;$&quot;* #,##0.000000_-;\-&quot;$&quot;* #,##0.000000_-;_-&quot;$&quot;* &quot;-&quot;??_-;_-@_-"/>
    <numFmt numFmtId="169" formatCode="_-* #,##0.0000_-;\-* #,##0.0000_-;_-* &quot;-&quot;??_-;_-@_-"/>
    <numFmt numFmtId="170" formatCode="_-* #,##0.00000_-;\-* #,##0.00000_-;_-* &quot;-&quot;??_-;_-@_-"/>
    <numFmt numFmtId="171" formatCode="_-* #,##0.000000_-;\-* #,##0.000000_-;_-* &quot;-&quot;??_-;_-@_-"/>
    <numFmt numFmtId="172" formatCode="_-* #,##0.0_-;\-* #,##0.0_-;_-* &quot;-&quot;??_-;_-@_-"/>
    <numFmt numFmtId="173" formatCode="#,##0.00_ ;\-#,##0.00\ "/>
    <numFmt numFmtId="174" formatCode="0.000000"/>
    <numFmt numFmtId="175" formatCode="&quot;$&quot;#,##0.00"/>
    <numFmt numFmtId="176" formatCode="_-* #,##0.000_-;\-* #,##0.000_-;_-* &quot;-&quot;??_-;_-@_-"/>
    <numFmt numFmtId="177" formatCode="0.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4"/>
      <color theme="0"/>
      <name val="Arial"/>
      <family val="2"/>
    </font>
    <font>
      <b/>
      <sz val="18"/>
      <color theme="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4"/>
      <name val="Arial"/>
      <family val="2"/>
    </font>
    <font>
      <sz val="9"/>
      <color indexed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b/>
      <sz val="9"/>
      <color indexed="9"/>
      <name val="Arial"/>
      <family val="2"/>
    </font>
    <font>
      <b/>
      <sz val="10"/>
      <name val="Arial"/>
      <family val="2"/>
    </font>
    <font>
      <b/>
      <sz val="10"/>
      <color indexed="57"/>
      <name val="Arial"/>
      <family val="2"/>
    </font>
    <font>
      <sz val="8"/>
      <color indexed="18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sz val="10"/>
      <name val="Book Antiqua"/>
      <family val="1"/>
    </font>
    <font>
      <sz val="11"/>
      <name val="Book Antiqua"/>
      <family val="1"/>
    </font>
    <font>
      <b/>
      <sz val="14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sz val="11"/>
      <name val="Book Antiqua"/>
      <family val="1"/>
    </font>
    <font>
      <sz val="11"/>
      <color rgb="FF3F3F76"/>
      <name val="Book Antiqua"/>
      <family val="1"/>
    </font>
    <font>
      <sz val="11"/>
      <color rgb="FF3F3F3F"/>
      <name val="Book Antiqua"/>
      <family val="1"/>
    </font>
    <font>
      <b/>
      <sz val="18"/>
      <color theme="0"/>
      <name val="Book Antiqua"/>
      <family val="1"/>
    </font>
    <font>
      <b/>
      <sz val="14"/>
      <color theme="0"/>
      <name val="Book Antiqua"/>
      <family val="1"/>
    </font>
    <font>
      <b/>
      <sz val="10"/>
      <color theme="0"/>
      <name val="Book Antiqua"/>
      <family val="1"/>
    </font>
    <font>
      <b/>
      <sz val="11"/>
      <color theme="0"/>
      <name val="Book Antiqua"/>
      <family val="1"/>
    </font>
    <font>
      <b/>
      <sz val="12"/>
      <color theme="1"/>
      <name val="Book Antiqua"/>
      <family val="1"/>
    </font>
    <font>
      <sz val="8"/>
      <color rgb="FFFF0000"/>
      <name val="Book Antiqua"/>
      <family val="1"/>
    </font>
    <font>
      <sz val="11"/>
      <color theme="0"/>
      <name val="Book Antiqua"/>
      <family val="1"/>
    </font>
    <font>
      <b/>
      <sz val="11"/>
      <color theme="9" tint="-0.249977111117893"/>
      <name val="Book Antiqua"/>
      <family val="1"/>
    </font>
    <font>
      <sz val="11"/>
      <color rgb="FFFF0000"/>
      <name val="Book Antiqua"/>
      <family val="1"/>
    </font>
    <font>
      <b/>
      <u/>
      <sz val="11"/>
      <color theme="9" tint="-0.249977111117893"/>
      <name val="Book Antiqua"/>
      <family val="1"/>
    </font>
    <font>
      <b/>
      <sz val="10"/>
      <name val="Book Antiqua"/>
      <family val="1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i/>
      <sz val="8"/>
      <color rgb="FFFF0000"/>
      <name val="Book Antiqua"/>
      <family val="1"/>
    </font>
  </fonts>
  <fills count="1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00B0F0"/>
        <bgColor indexed="64"/>
      </patternFill>
    </fill>
    <fill>
      <patternFill patternType="lightGray">
        <f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double">
        <color theme="6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indexed="64"/>
      </top>
      <bottom style="thin">
        <color rgb="FF3F3F3F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2" tint="-0.749961851863155"/>
      </left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 style="medium">
        <color theme="4" tint="-0.24994659260841701"/>
      </left>
      <right style="medium">
        <color theme="4" tint="-0.24994659260841701"/>
      </right>
      <top/>
      <bottom/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0" borderId="0"/>
    <xf numFmtId="0" fontId="5" fillId="0" borderId="0" applyNumberFormat="0" applyFill="0" applyBorder="0" applyAlignment="0"/>
    <xf numFmtId="0" fontId="8" fillId="0" borderId="3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4" fontId="10" fillId="0" borderId="0">
      <alignment horizontal="left"/>
    </xf>
    <xf numFmtId="0" fontId="11" fillId="0" borderId="0"/>
    <xf numFmtId="165" fontId="8" fillId="5" borderId="0">
      <alignment horizontal="left"/>
      <protection locked="0"/>
    </xf>
    <xf numFmtId="166" fontId="8" fillId="5" borderId="0">
      <alignment horizontal="right"/>
      <protection locked="0"/>
    </xf>
    <xf numFmtId="0" fontId="12" fillId="0" borderId="0" applyNumberFormat="0" applyFill="0" applyBorder="0" applyAlignment="0"/>
    <xf numFmtId="0" fontId="13" fillId="0" borderId="4" applyNumberFormat="0" applyFill="0" applyBorder="0" applyAlignment="0"/>
    <xf numFmtId="165" fontId="9" fillId="6" borderId="5" applyNumberFormat="0" applyFont="0" applyBorder="0" applyAlignment="0">
      <alignment horizontal="right"/>
      <protection locked="0"/>
    </xf>
    <xf numFmtId="166" fontId="9" fillId="6" borderId="0" applyFont="0" applyBorder="0" applyAlignment="0">
      <protection locked="0"/>
    </xf>
    <xf numFmtId="165" fontId="8" fillId="7" borderId="0" applyBorder="0" applyAlignment="0">
      <alignment horizontal="right"/>
      <protection locked="0"/>
    </xf>
    <xf numFmtId="10" fontId="8" fillId="7" borderId="0" applyBorder="0">
      <alignment horizontal="right"/>
      <protection locked="0"/>
    </xf>
    <xf numFmtId="165" fontId="9" fillId="7" borderId="0" applyFont="0" applyBorder="0" applyAlignment="0">
      <alignment horizontal="right"/>
      <protection locked="0"/>
    </xf>
    <xf numFmtId="10" fontId="9" fillId="7" borderId="0" applyFont="0" applyBorder="0">
      <alignment horizontal="right"/>
      <protection locked="0"/>
    </xf>
    <xf numFmtId="3" fontId="14" fillId="0" borderId="0">
      <protection locked="0"/>
    </xf>
    <xf numFmtId="166" fontId="14" fillId="0" borderId="0">
      <protection locked="0"/>
    </xf>
    <xf numFmtId="165" fontId="9" fillId="8" borderId="0" applyFont="0" applyBorder="0">
      <alignment horizontal="right"/>
      <protection locked="0"/>
    </xf>
    <xf numFmtId="165" fontId="15" fillId="9" borderId="0"/>
    <xf numFmtId="165" fontId="16" fillId="0" borderId="6" applyBorder="0" applyProtection="0"/>
    <xf numFmtId="0" fontId="17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10" borderId="0" applyNumberFormat="0" applyAlignment="0"/>
    <xf numFmtId="0" fontId="18" fillId="11" borderId="0">
      <alignment horizontal="center" wrapText="1"/>
    </xf>
    <xf numFmtId="0" fontId="9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6" borderId="5" applyNumberFormat="0" applyFont="0" applyBorder="0" applyAlignment="0">
      <alignment horizontal="right"/>
      <protection locked="0"/>
    </xf>
    <xf numFmtId="166" fontId="4" fillId="6" borderId="0" applyFont="0" applyBorder="0" applyAlignment="0">
      <protection locked="0"/>
    </xf>
    <xf numFmtId="165" fontId="4" fillId="7" borderId="0" applyFont="0" applyBorder="0" applyAlignment="0">
      <alignment horizontal="right"/>
      <protection locked="0"/>
    </xf>
    <xf numFmtId="10" fontId="4" fillId="7" borderId="0" applyFont="0" applyBorder="0">
      <alignment horizontal="right"/>
      <protection locked="0"/>
    </xf>
    <xf numFmtId="165" fontId="4" fillId="8" borderId="0" applyFont="0" applyBorder="0">
      <alignment horizontal="right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168">
    <xf numFmtId="0" fontId="0" fillId="0" borderId="0" xfId="0"/>
    <xf numFmtId="0" fontId="5" fillId="0" borderId="0" xfId="6"/>
    <xf numFmtId="0" fontId="4" fillId="4" borderId="0" xfId="5" applyFill="1"/>
    <xf numFmtId="0" fontId="6" fillId="4" borderId="0" xfId="5" applyFont="1" applyFill="1"/>
    <xf numFmtId="0" fontId="6" fillId="4" borderId="0" xfId="5" applyFont="1" applyFill="1" applyAlignment="1">
      <alignment horizontal="left" indent="2"/>
    </xf>
    <xf numFmtId="0" fontId="7" fillId="4" borderId="0" xfId="5" applyFont="1" applyFill="1"/>
    <xf numFmtId="0" fontId="19" fillId="4" borderId="0" xfId="5" applyFont="1" applyFill="1"/>
    <xf numFmtId="0" fontId="7" fillId="4" borderId="0" xfId="5" applyFont="1" applyFill="1" applyAlignment="1">
      <alignment horizontal="left" indent="3"/>
    </xf>
    <xf numFmtId="0" fontId="20" fillId="0" borderId="0" xfId="0" applyFont="1"/>
    <xf numFmtId="43" fontId="0" fillId="0" borderId="0" xfId="0" applyNumberFormat="1"/>
    <xf numFmtId="167" fontId="0" fillId="0" borderId="0" xfId="1" applyNumberFormat="1" applyFont="1"/>
    <xf numFmtId="0" fontId="0" fillId="0" borderId="0" xfId="0" applyAlignment="1">
      <alignment horizontal="left" indent="1"/>
    </xf>
    <xf numFmtId="0" fontId="0" fillId="0" borderId="8" xfId="0" applyBorder="1"/>
    <xf numFmtId="43" fontId="0" fillId="0" borderId="0" xfId="1" applyFont="1"/>
    <xf numFmtId="169" fontId="0" fillId="0" borderId="0" xfId="1" applyNumberFormat="1" applyFont="1"/>
    <xf numFmtId="0" fontId="0" fillId="0" borderId="8" xfId="0" applyBorder="1" applyAlignment="1">
      <alignment horizontal="left" indent="1"/>
    </xf>
    <xf numFmtId="0" fontId="23" fillId="0" borderId="0" xfId="6" applyFont="1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horizontal="left" indent="1"/>
    </xf>
    <xf numFmtId="0" fontId="24" fillId="0" borderId="8" xfId="0" applyFont="1" applyBorder="1"/>
    <xf numFmtId="0" fontId="26" fillId="0" borderId="0" xfId="6" applyFont="1"/>
    <xf numFmtId="0" fontId="21" fillId="4" borderId="0" xfId="5" applyFont="1" applyFill="1"/>
    <xf numFmtId="0" fontId="29" fillId="4" borderId="0" xfId="5" applyFont="1" applyFill="1" applyAlignment="1">
      <alignment horizontal="left" indent="3"/>
    </xf>
    <xf numFmtId="0" fontId="29" fillId="4" borderId="0" xfId="5" applyFont="1" applyFill="1"/>
    <xf numFmtId="0" fontId="30" fillId="4" borderId="0" xfId="5" applyFont="1" applyFill="1" applyAlignment="1">
      <alignment horizontal="left" indent="2"/>
    </xf>
    <xf numFmtId="0" fontId="30" fillId="4" borderId="0" xfId="5" applyFont="1" applyFill="1"/>
    <xf numFmtId="0" fontId="31" fillId="4" borderId="0" xfId="5" applyFont="1" applyFill="1"/>
    <xf numFmtId="0" fontId="32" fillId="4" borderId="0" xfId="5" applyFont="1" applyFill="1"/>
    <xf numFmtId="43" fontId="24" fillId="0" borderId="0" xfId="0" applyNumberFormat="1" applyFont="1"/>
    <xf numFmtId="169" fontId="24" fillId="0" borderId="0" xfId="1" applyNumberFormat="1" applyFont="1"/>
    <xf numFmtId="43" fontId="24" fillId="0" borderId="0" xfId="1" applyFont="1"/>
    <xf numFmtId="167" fontId="24" fillId="0" borderId="0" xfId="1" applyNumberFormat="1" applyFont="1"/>
    <xf numFmtId="0" fontId="33" fillId="0" borderId="0" xfId="0" applyFont="1"/>
    <xf numFmtId="0" fontId="34" fillId="0" borderId="0" xfId="6" applyFont="1"/>
    <xf numFmtId="0" fontId="22" fillId="0" borderId="0" xfId="5" applyFont="1"/>
    <xf numFmtId="0" fontId="30" fillId="4" borderId="0" xfId="6" applyFont="1" applyFill="1"/>
    <xf numFmtId="0" fontId="35" fillId="4" borderId="0" xfId="5" applyFont="1" applyFill="1"/>
    <xf numFmtId="0" fontId="36" fillId="0" borderId="0" xfId="5" applyFont="1"/>
    <xf numFmtId="0" fontId="22" fillId="0" borderId="0" xfId="5" applyFont="1" applyFill="1"/>
    <xf numFmtId="0" fontId="22" fillId="0" borderId="0" xfId="5" applyFont="1" applyAlignment="1">
      <alignment horizontal="left" indent="1"/>
    </xf>
    <xf numFmtId="171" fontId="22" fillId="0" borderId="0" xfId="5" applyNumberFormat="1" applyFont="1"/>
    <xf numFmtId="0" fontId="37" fillId="0" borderId="0" xfId="5" applyFont="1"/>
    <xf numFmtId="174" fontId="22" fillId="0" borderId="0" xfId="5" applyNumberFormat="1" applyFont="1"/>
    <xf numFmtId="0" fontId="22" fillId="0" borderId="0" xfId="5" quotePrefix="1" applyFont="1"/>
    <xf numFmtId="43" fontId="22" fillId="0" borderId="0" xfId="5" applyNumberFormat="1" applyFont="1"/>
    <xf numFmtId="0" fontId="26" fillId="0" borderId="0" xfId="5" applyFont="1"/>
    <xf numFmtId="171" fontId="37" fillId="0" borderId="0" xfId="1" applyNumberFormat="1" applyFont="1"/>
    <xf numFmtId="174" fontId="37" fillId="0" borderId="0" xfId="5" applyNumberFormat="1" applyFont="1"/>
    <xf numFmtId="171" fontId="22" fillId="0" borderId="0" xfId="1" applyNumberFormat="1" applyFont="1"/>
    <xf numFmtId="1" fontId="22" fillId="0" borderId="0" xfId="5" applyNumberFormat="1" applyFont="1"/>
    <xf numFmtId="0" fontId="22" fillId="0" borderId="0" xfId="33" applyFont="1"/>
    <xf numFmtId="0" fontId="22" fillId="0" borderId="0" xfId="5" applyFont="1" applyFill="1" applyBorder="1"/>
    <xf numFmtId="1" fontId="22" fillId="0" borderId="0" xfId="33" applyNumberFormat="1" applyFont="1" applyBorder="1"/>
    <xf numFmtId="0" fontId="38" fillId="0" borderId="0" xfId="5" applyFont="1"/>
    <xf numFmtId="0" fontId="27" fillId="0" borderId="0" xfId="3" applyFont="1" applyFill="1" applyBorder="1"/>
    <xf numFmtId="8" fontId="22" fillId="0" borderId="0" xfId="5" applyNumberFormat="1" applyFont="1" applyBorder="1"/>
    <xf numFmtId="2" fontId="22" fillId="0" borderId="0" xfId="5" applyNumberFormat="1" applyFont="1"/>
    <xf numFmtId="43" fontId="22" fillId="0" borderId="0" xfId="5" applyNumberFormat="1" applyFont="1" applyAlignment="1">
      <alignment horizontal="left" indent="1"/>
    </xf>
    <xf numFmtId="3" fontId="22" fillId="0" borderId="0" xfId="5" applyNumberFormat="1" applyFont="1" applyBorder="1"/>
    <xf numFmtId="173" fontId="22" fillId="0" borderId="4" xfId="1" applyNumberFormat="1" applyFont="1" applyBorder="1"/>
    <xf numFmtId="173" fontId="22" fillId="0" borderId="9" xfId="1" applyNumberFormat="1" applyFont="1" applyBorder="1"/>
    <xf numFmtId="173" fontId="22" fillId="0" borderId="10" xfId="1" applyNumberFormat="1" applyFont="1" applyBorder="1"/>
    <xf numFmtId="173" fontId="22" fillId="0" borderId="0" xfId="1" applyNumberFormat="1" applyFont="1" applyBorder="1"/>
    <xf numFmtId="43" fontId="22" fillId="0" borderId="0" xfId="5" applyNumberFormat="1" applyFont="1" applyAlignment="1">
      <alignment horizontal="left"/>
    </xf>
    <xf numFmtId="0" fontId="22" fillId="0" borderId="0" xfId="5" applyFont="1" applyBorder="1"/>
    <xf numFmtId="0" fontId="21" fillId="0" borderId="0" xfId="5" applyFont="1"/>
    <xf numFmtId="0" fontId="29" fillId="4" borderId="0" xfId="5" applyFont="1" applyFill="1" applyAlignment="1"/>
    <xf numFmtId="0" fontId="39" fillId="0" borderId="0" xfId="6" applyFont="1"/>
    <xf numFmtId="2" fontId="21" fillId="0" borderId="0" xfId="5" applyNumberFormat="1" applyFont="1"/>
    <xf numFmtId="0" fontId="29" fillId="4" borderId="0" xfId="5" applyFont="1" applyFill="1" applyAlignment="1">
      <alignment horizontal="left" indent="2"/>
    </xf>
    <xf numFmtId="14" fontId="24" fillId="0" borderId="0" xfId="0" applyNumberFormat="1" applyFont="1"/>
    <xf numFmtId="43" fontId="37" fillId="0" borderId="0" xfId="5" applyNumberFormat="1" applyFont="1"/>
    <xf numFmtId="170" fontId="22" fillId="0" borderId="0" xfId="1" applyNumberFormat="1" applyFont="1" applyFill="1"/>
    <xf numFmtId="0" fontId="37" fillId="0" borderId="0" xfId="5" applyFont="1" applyFill="1"/>
    <xf numFmtId="167" fontId="37" fillId="0" borderId="0" xfId="5" applyNumberFormat="1" applyFont="1" applyFill="1"/>
    <xf numFmtId="167" fontId="22" fillId="0" borderId="0" xfId="5" applyNumberFormat="1" applyFont="1" applyFill="1"/>
    <xf numFmtId="0" fontId="22" fillId="12" borderId="7" xfId="5" applyFont="1" applyFill="1" applyBorder="1"/>
    <xf numFmtId="0" fontId="28" fillId="13" borderId="11" xfId="4" applyFont="1" applyFill="1" applyBorder="1"/>
    <xf numFmtId="8" fontId="22" fillId="14" borderId="12" xfId="3" applyNumberFormat="1" applyFont="1" applyFill="1" applyBorder="1"/>
    <xf numFmtId="171" fontId="22" fillId="12" borderId="7" xfId="1" applyNumberFormat="1" applyFont="1" applyFill="1" applyBorder="1"/>
    <xf numFmtId="43" fontId="22" fillId="12" borderId="7" xfId="1" applyNumberFormat="1" applyFont="1" applyFill="1" applyBorder="1"/>
    <xf numFmtId="167" fontId="22" fillId="12" borderId="7" xfId="1" applyNumberFormat="1" applyFont="1" applyFill="1" applyBorder="1"/>
    <xf numFmtId="9" fontId="22" fillId="12" borderId="7" xfId="2" applyNumberFormat="1" applyFont="1" applyFill="1" applyBorder="1"/>
    <xf numFmtId="172" fontId="28" fillId="15" borderId="13" xfId="1" applyNumberFormat="1" applyFont="1" applyFill="1" applyBorder="1"/>
    <xf numFmtId="0" fontId="22" fillId="12" borderId="14" xfId="5" applyFont="1" applyFill="1" applyBorder="1"/>
    <xf numFmtId="0" fontId="28" fillId="15" borderId="13" xfId="4" applyFont="1" applyFill="1" applyBorder="1"/>
    <xf numFmtId="0" fontId="22" fillId="0" borderId="0" xfId="5" applyNumberFormat="1" applyFont="1" applyAlignment="1">
      <alignment horizontal="left" indent="1"/>
    </xf>
    <xf numFmtId="0" fontId="40" fillId="0" borderId="0" xfId="0" applyFont="1"/>
    <xf numFmtId="172" fontId="0" fillId="0" borderId="0" xfId="0" applyNumberFormat="1"/>
    <xf numFmtId="172" fontId="0" fillId="0" borderId="0" xfId="2" applyNumberFormat="1" applyFont="1"/>
    <xf numFmtId="0" fontId="41" fillId="0" borderId="0" xfId="6" applyFont="1"/>
    <xf numFmtId="0" fontId="28" fillId="13" borderId="15" xfId="4" applyFont="1" applyFill="1" applyBorder="1"/>
    <xf numFmtId="0" fontId="38" fillId="0" borderId="0" xfId="5" applyNumberFormat="1" applyFont="1"/>
    <xf numFmtId="0" fontId="22" fillId="0" borderId="0" xfId="5" applyNumberFormat="1" applyFont="1" applyAlignment="1"/>
    <xf numFmtId="0" fontId="22" fillId="0" borderId="0" xfId="5" applyNumberFormat="1" applyFont="1" applyAlignment="1">
      <alignment horizontal="left"/>
    </xf>
    <xf numFmtId="0" fontId="38" fillId="0" borderId="0" xfId="5" applyNumberFormat="1" applyFont="1" applyAlignment="1"/>
    <xf numFmtId="0" fontId="24" fillId="0" borderId="0" xfId="0" applyFont="1"/>
    <xf numFmtId="0" fontId="21" fillId="4" borderId="0" xfId="5" applyFont="1" applyFill="1"/>
    <xf numFmtId="0" fontId="29" fillId="4" borderId="0" xfId="5" applyFont="1" applyFill="1"/>
    <xf numFmtId="0" fontId="30" fillId="4" borderId="0" xfId="5" applyFont="1" applyFill="1"/>
    <xf numFmtId="0" fontId="32" fillId="4" borderId="0" xfId="5" applyFont="1" applyFill="1"/>
    <xf numFmtId="43" fontId="24" fillId="0" borderId="0" xfId="0" applyNumberFormat="1" applyFont="1"/>
    <xf numFmtId="167" fontId="24" fillId="0" borderId="0" xfId="1" applyNumberFormat="1" applyFont="1"/>
    <xf numFmtId="0" fontId="22" fillId="0" borderId="0" xfId="5" applyFont="1"/>
    <xf numFmtId="8" fontId="22" fillId="14" borderId="12" xfId="3" applyNumberFormat="1" applyFont="1" applyFill="1" applyBorder="1"/>
    <xf numFmtId="171" fontId="22" fillId="12" borderId="7" xfId="1" applyNumberFormat="1" applyFont="1" applyFill="1" applyBorder="1"/>
    <xf numFmtId="43" fontId="22" fillId="12" borderId="7" xfId="1" applyNumberFormat="1" applyFont="1" applyFill="1" applyBorder="1"/>
    <xf numFmtId="167" fontId="22" fillId="12" borderId="7" xfId="1" applyNumberFormat="1" applyFont="1" applyFill="1" applyBorder="1"/>
    <xf numFmtId="9" fontId="22" fillId="12" borderId="7" xfId="2" applyFont="1" applyFill="1" applyBorder="1"/>
    <xf numFmtId="0" fontId="26" fillId="0" borderId="0" xfId="61" applyFont="1"/>
    <xf numFmtId="2" fontId="22" fillId="12" borderId="7" xfId="5" applyNumberFormat="1" applyFont="1" applyFill="1" applyBorder="1"/>
    <xf numFmtId="8" fontId="0" fillId="0" borderId="0" xfId="0" applyNumberFormat="1"/>
    <xf numFmtId="0" fontId="22" fillId="0" borderId="0" xfId="61" applyFont="1"/>
    <xf numFmtId="0" fontId="38" fillId="0" borderId="0" xfId="61" applyFont="1"/>
    <xf numFmtId="0" fontId="22" fillId="0" borderId="0" xfId="61" applyFont="1" applyFill="1" applyBorder="1"/>
    <xf numFmtId="1" fontId="22" fillId="0" borderId="0" xfId="61" applyNumberFormat="1" applyFont="1" applyFill="1" applyBorder="1"/>
    <xf numFmtId="1" fontId="22" fillId="0" borderId="0" xfId="61" applyNumberFormat="1" applyFont="1" applyBorder="1"/>
    <xf numFmtId="0" fontId="26" fillId="0" borderId="0" xfId="61" applyFont="1" applyAlignment="1">
      <alignment wrapText="1"/>
    </xf>
    <xf numFmtId="175" fontId="22" fillId="12" borderId="7" xfId="1" applyNumberFormat="1" applyFont="1" applyFill="1" applyBorder="1"/>
    <xf numFmtId="2" fontId="22" fillId="12" borderId="7" xfId="1" applyNumberFormat="1" applyFont="1" applyFill="1" applyBorder="1"/>
    <xf numFmtId="0" fontId="22" fillId="14" borderId="12" xfId="3" applyNumberFormat="1" applyFont="1" applyFill="1" applyBorder="1"/>
    <xf numFmtId="43" fontId="22" fillId="0" borderId="0" xfId="1" applyFont="1"/>
    <xf numFmtId="0" fontId="29" fillId="4" borderId="0" xfId="5" applyNumberFormat="1" applyFont="1" applyFill="1"/>
    <xf numFmtId="0" fontId="26" fillId="0" borderId="0" xfId="61" applyFont="1" applyFill="1"/>
    <xf numFmtId="43" fontId="21" fillId="0" borderId="0" xfId="5" applyNumberFormat="1" applyFont="1"/>
    <xf numFmtId="176" fontId="22" fillId="0" borderId="0" xfId="5" applyNumberFormat="1" applyFont="1"/>
    <xf numFmtId="10" fontId="22" fillId="12" borderId="14" xfId="2" applyNumberFormat="1" applyFont="1" applyFill="1" applyBorder="1"/>
    <xf numFmtId="10" fontId="22" fillId="12" borderId="7" xfId="2" applyNumberFormat="1" applyFont="1" applyFill="1" applyBorder="1"/>
    <xf numFmtId="0" fontId="28" fillId="13" borderId="19" xfId="4" applyFont="1" applyFill="1" applyBorder="1"/>
    <xf numFmtId="173" fontId="37" fillId="0" borderId="10" xfId="1" applyNumberFormat="1" applyFont="1" applyBorder="1"/>
    <xf numFmtId="173" fontId="37" fillId="0" borderId="0" xfId="1" applyNumberFormat="1" applyFont="1" applyBorder="1"/>
    <xf numFmtId="173" fontId="37" fillId="0" borderId="4" xfId="1" applyNumberFormat="1" applyFont="1" applyBorder="1"/>
    <xf numFmtId="173" fontId="37" fillId="0" borderId="9" xfId="1" applyNumberFormat="1" applyFont="1" applyBorder="1"/>
    <xf numFmtId="10" fontId="22" fillId="0" borderId="0" xfId="2" applyNumberFormat="1" applyFont="1" applyBorder="1"/>
    <xf numFmtId="0" fontId="42" fillId="0" borderId="0" xfId="0" applyFont="1"/>
    <xf numFmtId="167" fontId="42" fillId="0" borderId="0" xfId="1" applyNumberFormat="1" applyFont="1"/>
    <xf numFmtId="8" fontId="22" fillId="14" borderId="12" xfId="3" applyNumberFormat="1" applyFont="1" applyFill="1" applyBorder="1" applyProtection="1">
      <protection locked="0"/>
    </xf>
    <xf numFmtId="43" fontId="22" fillId="14" borderId="12" xfId="3" applyNumberFormat="1" applyFont="1" applyFill="1" applyBorder="1" applyAlignment="1" applyProtection="1">
      <alignment horizontal="left" indent="1"/>
      <protection locked="0"/>
    </xf>
    <xf numFmtId="43" fontId="37" fillId="14" borderId="12" xfId="3" applyNumberFormat="1" applyFont="1" applyFill="1" applyBorder="1" applyAlignment="1" applyProtection="1">
      <alignment horizontal="left" indent="1"/>
      <protection locked="0"/>
    </xf>
    <xf numFmtId="0" fontId="22" fillId="14" borderId="12" xfId="3" applyFont="1" applyFill="1" applyBorder="1" applyProtection="1">
      <protection locked="0"/>
    </xf>
    <xf numFmtId="167" fontId="22" fillId="14" borderId="12" xfId="1" applyNumberFormat="1" applyFont="1" applyFill="1" applyBorder="1" applyProtection="1">
      <protection locked="0"/>
    </xf>
    <xf numFmtId="1" fontId="22" fillId="14" borderId="12" xfId="3" applyNumberFormat="1" applyFont="1" applyFill="1" applyBorder="1" applyProtection="1">
      <protection locked="0"/>
    </xf>
    <xf numFmtId="3" fontId="22" fillId="14" borderId="12" xfId="3" applyNumberFormat="1" applyFont="1" applyFill="1" applyBorder="1" applyProtection="1">
      <protection locked="0"/>
    </xf>
    <xf numFmtId="171" fontId="22" fillId="14" borderId="12" xfId="1" applyNumberFormat="1" applyFont="1" applyFill="1" applyBorder="1" applyProtection="1">
      <protection locked="0"/>
    </xf>
    <xf numFmtId="44" fontId="22" fillId="14" borderId="12" xfId="3" applyNumberFormat="1" applyFont="1" applyFill="1" applyBorder="1" applyProtection="1">
      <protection locked="0"/>
    </xf>
    <xf numFmtId="2" fontId="22" fillId="12" borderId="7" xfId="5" applyNumberFormat="1" applyFont="1" applyFill="1" applyBorder="1" applyProtection="1">
      <protection locked="0"/>
    </xf>
    <xf numFmtId="168" fontId="22" fillId="14" borderId="12" xfId="3" applyNumberFormat="1" applyFont="1" applyFill="1" applyBorder="1" applyProtection="1">
      <protection locked="0"/>
    </xf>
    <xf numFmtId="174" fontId="22" fillId="12" borderId="7" xfId="5" applyNumberFormat="1" applyFont="1" applyFill="1" applyBorder="1" applyProtection="1">
      <protection locked="0"/>
    </xf>
    <xf numFmtId="2" fontId="22" fillId="12" borderId="14" xfId="5" applyNumberFormat="1" applyFont="1" applyFill="1" applyBorder="1" applyProtection="1">
      <protection locked="0"/>
    </xf>
    <xf numFmtId="174" fontId="22" fillId="12" borderId="14" xfId="5" applyNumberFormat="1" applyFont="1" applyFill="1" applyBorder="1" applyProtection="1">
      <protection locked="0"/>
    </xf>
    <xf numFmtId="0" fontId="22" fillId="14" borderId="12" xfId="3" applyNumberFormat="1" applyFont="1" applyFill="1" applyBorder="1" applyProtection="1">
      <protection locked="0"/>
    </xf>
    <xf numFmtId="2" fontId="22" fillId="14" borderId="12" xfId="1" applyNumberFormat="1" applyFont="1" applyFill="1" applyBorder="1" applyProtection="1">
      <protection locked="0"/>
    </xf>
    <xf numFmtId="0" fontId="22" fillId="0" borderId="0" xfId="61" applyFont="1" applyProtection="1">
      <protection locked="0"/>
    </xf>
    <xf numFmtId="166" fontId="22" fillId="14" borderId="12" xfId="2" applyNumberFormat="1" applyFont="1" applyFill="1" applyBorder="1" applyProtection="1">
      <protection locked="0"/>
    </xf>
    <xf numFmtId="10" fontId="22" fillId="14" borderId="12" xfId="2" applyNumberFormat="1" applyFont="1" applyFill="1" applyBorder="1" applyProtection="1">
      <protection locked="0"/>
    </xf>
    <xf numFmtId="171" fontId="0" fillId="0" borderId="0" xfId="0" applyNumberFormat="1"/>
    <xf numFmtId="167" fontId="24" fillId="0" borderId="0" xfId="0" applyNumberFormat="1" applyFont="1"/>
    <xf numFmtId="167" fontId="0" fillId="0" borderId="0" xfId="0" applyNumberFormat="1"/>
    <xf numFmtId="177" fontId="28" fillId="15" borderId="13" xfId="1" applyNumberFormat="1" applyFont="1" applyFill="1" applyBorder="1"/>
    <xf numFmtId="43" fontId="22" fillId="14" borderId="12" xfId="1" applyFont="1" applyFill="1" applyBorder="1" applyProtection="1">
      <protection locked="0"/>
    </xf>
    <xf numFmtId="9" fontId="22" fillId="14" borderId="12" xfId="2" applyFont="1" applyFill="1" applyBorder="1" applyProtection="1">
      <protection locked="0"/>
    </xf>
    <xf numFmtId="0" fontId="22" fillId="16" borderId="16" xfId="5" applyFont="1" applyFill="1" applyBorder="1" applyAlignment="1">
      <alignment horizontal="left"/>
    </xf>
    <xf numFmtId="0" fontId="22" fillId="16" borderId="17" xfId="5" applyFont="1" applyFill="1" applyBorder="1" applyAlignment="1">
      <alignment horizontal="left"/>
    </xf>
    <xf numFmtId="0" fontId="22" fillId="16" borderId="18" xfId="5" applyFont="1" applyFill="1" applyBorder="1" applyAlignment="1">
      <alignment horizontal="left"/>
    </xf>
    <xf numFmtId="0" fontId="22" fillId="16" borderId="16" xfId="5" applyFont="1" applyFill="1" applyBorder="1" applyAlignment="1">
      <alignment horizontal="left" wrapText="1"/>
    </xf>
    <xf numFmtId="0" fontId="22" fillId="16" borderId="17" xfId="5" applyFont="1" applyFill="1" applyBorder="1" applyAlignment="1">
      <alignment horizontal="left" wrapText="1"/>
    </xf>
    <xf numFmtId="0" fontId="22" fillId="16" borderId="18" xfId="5" applyFont="1" applyFill="1" applyBorder="1" applyAlignment="1">
      <alignment horizontal="left" wrapText="1"/>
    </xf>
  </cellXfs>
  <cellStyles count="67">
    <cellStyle name="Change in Formula" xfId="7"/>
    <cellStyle name="Comma" xfId="1" builtinId="3"/>
    <cellStyle name="Comma 2" xfId="8"/>
    <cellStyle name="Comma 2 2" xfId="9"/>
    <cellStyle name="Comma 2 3" xfId="10"/>
    <cellStyle name="Comma 2 3 2" xfId="52"/>
    <cellStyle name="Comma 3" xfId="11"/>
    <cellStyle name="Comma 4" xfId="12"/>
    <cellStyle name="Comma 4 2" xfId="53"/>
    <cellStyle name="Currency 2" xfId="13"/>
    <cellStyle name="Currency 2 2" xfId="54"/>
    <cellStyle name="Error checks" xfId="14"/>
    <cellStyle name="Error Warning" xfId="15"/>
    <cellStyle name="Forecast Input" xfId="16"/>
    <cellStyle name="Forecast Input%" xfId="17"/>
    <cellStyle name="Heading1" xfId="18"/>
    <cellStyle name="Heading2" xfId="6"/>
    <cellStyle name="Heading3" xfId="19"/>
    <cellStyle name="Info Input #" xfId="20"/>
    <cellStyle name="Info Input # 2" xfId="55"/>
    <cellStyle name="Info Input %" xfId="21"/>
    <cellStyle name="Info Input % 2" xfId="56"/>
    <cellStyle name="Input" xfId="3" builtinId="20"/>
    <cellStyle name="Input #" xfId="22"/>
    <cellStyle name="Input %" xfId="23"/>
    <cellStyle name="Input1" xfId="24"/>
    <cellStyle name="Input1 2" xfId="57"/>
    <cellStyle name="Input1%" xfId="25"/>
    <cellStyle name="Input1% 2" xfId="58"/>
    <cellStyle name="Input2 #" xfId="26"/>
    <cellStyle name="Input2 %" xfId="27"/>
    <cellStyle name="Input3" xfId="28"/>
    <cellStyle name="Input3 2" xfId="59"/>
    <cellStyle name="Key Outputs" xfId="29"/>
    <cellStyle name="Key Outputs 2" xfId="30"/>
    <cellStyle name="Links from other files (green) style" xfId="31"/>
    <cellStyle name="Normal" xfId="0" builtinId="0"/>
    <cellStyle name="Normal 10" xfId="32"/>
    <cellStyle name="Normal 10 2" xfId="60"/>
    <cellStyle name="Normal 2" xfId="5"/>
    <cellStyle name="Normal 2 2" xfId="33"/>
    <cellStyle name="Normal 2 2 2" xfId="61"/>
    <cellStyle name="Normal 2_2012 AER data 2hh" xfId="34"/>
    <cellStyle name="Normal 3" xfId="35"/>
    <cellStyle name="Normal 3 2" xfId="36"/>
    <cellStyle name="Normal 3_2012 AER data 2hh" xfId="37"/>
    <cellStyle name="Normal 4" xfId="38"/>
    <cellStyle name="Normal 5" xfId="39"/>
    <cellStyle name="Normal 5 2" xfId="62"/>
    <cellStyle name="Normal 6" xfId="40"/>
    <cellStyle name="Normal 6 2" xfId="63"/>
    <cellStyle name="Normal 7" xfId="41"/>
    <cellStyle name="Normal 8" xfId="42"/>
    <cellStyle name="Normal 9" xfId="43"/>
    <cellStyle name="Output" xfId="4" builtinId="21"/>
    <cellStyle name="Percent" xfId="2" builtinId="5"/>
    <cellStyle name="Percent 2" xfId="44"/>
    <cellStyle name="Percent 2 2" xfId="45"/>
    <cellStyle name="Percent 3" xfId="46"/>
    <cellStyle name="Percent 4" xfId="47"/>
    <cellStyle name="Percent 4 2" xfId="64"/>
    <cellStyle name="Percent 5" xfId="48"/>
    <cellStyle name="Percent 5 2" xfId="65"/>
    <cellStyle name="QA Notes" xfId="49"/>
    <cellStyle name="Report Heading" xfId="50"/>
    <cellStyle name="Style 1" xfId="51"/>
    <cellStyle name="Style 1 2" xfId="66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9" name="Picture 8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0" name="Picture 9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1" name="Picture 10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2" name="Picture 1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3" name="Picture 1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k.allen/AppData/Local/Microsoft/Windows/Temporary%20Internet%20Files/Content.Outlook/611F7NYC/EPR0029%202012%20Workbook%20NSW%201009201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W workbook"/>
      <sheetName val="2012 Notes"/>
      <sheetName val="2012 AER RAW NSW"/>
      <sheetName val="2012 AER Worked NSW"/>
      <sheetName val="NSW Network Input"/>
      <sheetName val="NSW Retail Input"/>
      <sheetName val="2012 NSW output"/>
      <sheetName val="discarded&gt;&gt;"/>
      <sheetName val="2012 IPART inputs"/>
      <sheetName val="Sheet3"/>
      <sheetName val="Global Inpu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>
            <v>5.3999999999999999E-2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3"/>
  <sheetViews>
    <sheetView topLeftCell="A13" zoomScaleNormal="100" workbookViewId="0">
      <selection activeCell="D19" sqref="D19"/>
    </sheetView>
  </sheetViews>
  <sheetFormatPr defaultColWidth="9.140625" defaultRowHeight="16.5" x14ac:dyDescent="0.3"/>
  <cols>
    <col min="1" max="1" width="21.140625" style="17" customWidth="1"/>
    <col min="2" max="2" width="13.5703125" style="17" customWidth="1"/>
    <col min="3" max="3" width="12.7109375" style="17" bestFit="1" customWidth="1"/>
    <col min="4" max="4" width="32.140625" style="17" bestFit="1" customWidth="1"/>
    <col min="5" max="16384" width="9.140625" style="17"/>
  </cols>
  <sheetData>
    <row r="1" spans="1:7" s="22" customFormat="1" ht="23.25" x14ac:dyDescent="0.35">
      <c r="A1" s="22" t="s">
        <v>1</v>
      </c>
      <c r="B1" s="70" t="str">
        <f ca="1">LEFT(RIGHT(CELL("filename",B2),LEN(CELL("filename",B2))-SEARCH("[",CELL("filename",B2))),SEARCH(".",RIGHT(CELL("filename",B2),LEN(CELL("filename",B2))-SEARCH("[",CELL("filename",B2))))-1)</f>
        <v>2012 Pricing Trends - model - Vic</v>
      </c>
      <c r="C1" s="24"/>
    </row>
    <row r="2" spans="1:7" s="22" customFormat="1" ht="18.75" x14ac:dyDescent="0.3">
      <c r="B2" s="25" t="str">
        <f ca="1">RIGHT(CELL("filename",B2),LEN(CELL("filename",B2))-SEARCH("]",CELL("filename",B2)))</f>
        <v>Index</v>
      </c>
      <c r="C2" s="26"/>
    </row>
    <row r="3" spans="1:7" s="22" customFormat="1" ht="13.5" x14ac:dyDescent="0.25"/>
    <row r="4" spans="1:7" s="22" customFormat="1" ht="15" x14ac:dyDescent="0.3">
      <c r="B4" s="27"/>
      <c r="C4" s="27"/>
      <c r="D4" s="27"/>
      <c r="E4" s="27"/>
      <c r="F4" s="27"/>
      <c r="G4" s="27"/>
    </row>
    <row r="6" spans="1:7" ht="18.75" x14ac:dyDescent="0.3">
      <c r="A6" s="16" t="s">
        <v>42</v>
      </c>
    </row>
    <row r="7" spans="1:7" x14ac:dyDescent="0.3">
      <c r="A7" s="17" t="s">
        <v>43</v>
      </c>
    </row>
    <row r="8" spans="1:7" x14ac:dyDescent="0.3">
      <c r="A8" s="17" t="s">
        <v>44</v>
      </c>
    </row>
    <row r="9" spans="1:7" x14ac:dyDescent="0.3">
      <c r="A9" s="17" t="s">
        <v>45</v>
      </c>
    </row>
    <row r="10" spans="1:7" x14ac:dyDescent="0.3">
      <c r="A10" s="17" t="s">
        <v>46</v>
      </c>
    </row>
    <row r="11" spans="1:7" x14ac:dyDescent="0.3">
      <c r="A11" s="17" t="s">
        <v>106</v>
      </c>
    </row>
    <row r="12" spans="1:7" x14ac:dyDescent="0.3">
      <c r="A12" s="17" t="s">
        <v>107</v>
      </c>
    </row>
    <row r="15" spans="1:7" ht="18.75" x14ac:dyDescent="0.3">
      <c r="A15" s="16" t="s">
        <v>48</v>
      </c>
      <c r="B15" s="17" t="s">
        <v>49</v>
      </c>
      <c r="C15" s="17" t="s">
        <v>51</v>
      </c>
      <c r="D15" s="17" t="s">
        <v>50</v>
      </c>
    </row>
    <row r="16" spans="1:7" x14ac:dyDescent="0.3">
      <c r="A16" s="17">
        <v>1</v>
      </c>
      <c r="B16" s="17" t="s">
        <v>127</v>
      </c>
      <c r="C16" s="71">
        <v>41165</v>
      </c>
      <c r="D16" s="17" t="s">
        <v>52</v>
      </c>
    </row>
    <row r="20" spans="1:9" ht="19.5" thickBot="1" x14ac:dyDescent="0.35">
      <c r="A20" s="16" t="s">
        <v>47</v>
      </c>
    </row>
    <row r="21" spans="1:9" ht="17.25" thickBot="1" x14ac:dyDescent="0.35">
      <c r="A21" s="162" t="s">
        <v>93</v>
      </c>
      <c r="B21" s="163"/>
      <c r="C21" s="163"/>
      <c r="D21" s="163"/>
      <c r="E21" s="163"/>
      <c r="F21" s="163"/>
      <c r="G21" s="163"/>
      <c r="H21" s="163"/>
      <c r="I21" s="164"/>
    </row>
    <row r="22" spans="1:9" ht="17.25" thickBot="1" x14ac:dyDescent="0.35">
      <c r="A22" s="162" t="s">
        <v>94</v>
      </c>
      <c r="B22" s="163"/>
      <c r="C22" s="163"/>
      <c r="D22" s="163"/>
      <c r="E22" s="163"/>
      <c r="F22" s="163"/>
      <c r="G22" s="163"/>
      <c r="H22" s="163"/>
      <c r="I22" s="164"/>
    </row>
    <row r="23" spans="1:9" ht="17.25" thickBot="1" x14ac:dyDescent="0.35">
      <c r="A23" s="162" t="s">
        <v>147</v>
      </c>
      <c r="B23" s="163"/>
      <c r="C23" s="163"/>
      <c r="D23" s="163"/>
      <c r="E23" s="163"/>
      <c r="F23" s="163"/>
      <c r="G23" s="163"/>
      <c r="H23" s="163"/>
      <c r="I23" s="164"/>
    </row>
    <row r="24" spans="1:9" ht="17.25" thickBot="1" x14ac:dyDescent="0.35">
      <c r="A24" s="162" t="s">
        <v>126</v>
      </c>
      <c r="B24" s="163"/>
      <c r="C24" s="163"/>
      <c r="D24" s="163"/>
      <c r="E24" s="163"/>
      <c r="F24" s="163"/>
      <c r="G24" s="163"/>
      <c r="H24" s="163"/>
      <c r="I24" s="164"/>
    </row>
    <row r="25" spans="1:9" ht="17.25" thickBot="1" x14ac:dyDescent="0.35">
      <c r="A25" s="162" t="s">
        <v>95</v>
      </c>
      <c r="B25" s="163"/>
      <c r="C25" s="163"/>
      <c r="D25" s="163"/>
      <c r="E25" s="163"/>
      <c r="F25" s="163"/>
      <c r="G25" s="163"/>
      <c r="H25" s="163"/>
      <c r="I25" s="164"/>
    </row>
    <row r="26" spans="1:9" ht="17.25" thickBot="1" x14ac:dyDescent="0.35">
      <c r="A26" s="162" t="s">
        <v>102</v>
      </c>
      <c r="B26" s="163"/>
      <c r="C26" s="163"/>
      <c r="D26" s="163"/>
      <c r="E26" s="163"/>
      <c r="F26" s="163"/>
      <c r="G26" s="163"/>
      <c r="H26" s="163"/>
      <c r="I26" s="164"/>
    </row>
    <row r="27" spans="1:9" ht="17.25" thickBot="1" x14ac:dyDescent="0.35">
      <c r="A27" s="162" t="s">
        <v>103</v>
      </c>
      <c r="B27" s="163"/>
      <c r="C27" s="163"/>
      <c r="D27" s="163"/>
      <c r="E27" s="163"/>
      <c r="F27" s="163"/>
      <c r="G27" s="163"/>
      <c r="H27" s="163"/>
      <c r="I27" s="164"/>
    </row>
    <row r="28" spans="1:9" ht="33.75" customHeight="1" thickBot="1" x14ac:dyDescent="0.35">
      <c r="A28" s="165" t="s">
        <v>105</v>
      </c>
      <c r="B28" s="166"/>
      <c r="C28" s="166"/>
      <c r="D28" s="166"/>
      <c r="E28" s="166"/>
      <c r="F28" s="166"/>
      <c r="G28" s="166"/>
      <c r="H28" s="166"/>
      <c r="I28" s="167"/>
    </row>
    <row r="29" spans="1:9" ht="35.25" customHeight="1" thickBot="1" x14ac:dyDescent="0.35">
      <c r="A29" s="165" t="s">
        <v>104</v>
      </c>
      <c r="B29" s="166"/>
      <c r="C29" s="166"/>
      <c r="D29" s="166"/>
      <c r="E29" s="166"/>
      <c r="F29" s="166"/>
      <c r="G29" s="166"/>
      <c r="H29" s="166"/>
      <c r="I29" s="167"/>
    </row>
    <row r="30" spans="1:9" ht="17.25" thickBot="1" x14ac:dyDescent="0.35">
      <c r="A30" s="162" t="str">
        <f>Scheme2 &amp; " is always included in total retail costs."</f>
        <v>blank is always included in total retail costs.</v>
      </c>
      <c r="B30" s="163"/>
      <c r="C30" s="163"/>
      <c r="D30" s="163"/>
      <c r="E30" s="163"/>
      <c r="F30" s="163"/>
      <c r="G30" s="163"/>
      <c r="H30" s="163"/>
      <c r="I30" s="164"/>
    </row>
    <row r="31" spans="1:9" ht="17.25" thickBot="1" x14ac:dyDescent="0.35">
      <c r="A31" s="162" t="s">
        <v>142</v>
      </c>
      <c r="B31" s="163"/>
      <c r="C31" s="163"/>
      <c r="D31" s="163"/>
      <c r="E31" s="163"/>
      <c r="F31" s="163"/>
      <c r="G31" s="163"/>
      <c r="H31" s="163"/>
      <c r="I31" s="164"/>
    </row>
    <row r="32" spans="1:9" ht="17.25" thickBot="1" x14ac:dyDescent="0.35">
      <c r="A32" s="162" t="s">
        <v>144</v>
      </c>
      <c r="B32" s="163"/>
      <c r="C32" s="163"/>
      <c r="D32" s="163"/>
      <c r="E32" s="163"/>
      <c r="F32" s="163"/>
      <c r="G32" s="163"/>
      <c r="H32" s="163"/>
      <c r="I32" s="164"/>
    </row>
    <row r="33" spans="1:9" ht="17.25" thickBot="1" x14ac:dyDescent="0.35">
      <c r="A33" s="162" t="s">
        <v>145</v>
      </c>
      <c r="B33" s="163"/>
      <c r="C33" s="163"/>
      <c r="D33" s="163"/>
      <c r="E33" s="163"/>
      <c r="F33" s="163"/>
      <c r="G33" s="163"/>
      <c r="H33" s="163"/>
      <c r="I33" s="164"/>
    </row>
  </sheetData>
  <sheetProtection password="D9A8" sheet="1" objects="1" scenarios="1"/>
  <mergeCells count="13">
    <mergeCell ref="A33:I33"/>
    <mergeCell ref="A32:I32"/>
    <mergeCell ref="A31:I31"/>
    <mergeCell ref="A21:I21"/>
    <mergeCell ref="A22:I22"/>
    <mergeCell ref="A23:I23"/>
    <mergeCell ref="A24:I24"/>
    <mergeCell ref="A25:I25"/>
    <mergeCell ref="A26:I26"/>
    <mergeCell ref="A27:I27"/>
    <mergeCell ref="A28:I28"/>
    <mergeCell ref="A29:I29"/>
    <mergeCell ref="A30:I30"/>
  </mergeCells>
  <pageMargins left="0.70866141732283472" right="0.70866141732283472" top="0.74803149606299213" bottom="0.74803149606299213" header="0.31496062992125984" footer="0.31496062992125984"/>
  <pageSetup paperSize="9" scale="54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115"/>
  <sheetViews>
    <sheetView tabSelected="1" topLeftCell="A19" zoomScaleNormal="100" workbookViewId="0">
      <selection activeCell="J28" sqref="J28"/>
    </sheetView>
  </sheetViews>
  <sheetFormatPr defaultColWidth="9.140625" defaultRowHeight="16.5" x14ac:dyDescent="0.3"/>
  <cols>
    <col min="1" max="1" width="37.28515625" style="17" bestFit="1" customWidth="1"/>
    <col min="2" max="2" width="2.140625" style="17" customWidth="1"/>
    <col min="3" max="3" width="9.140625" style="17"/>
    <col min="4" max="4" width="1.140625" style="17" customWidth="1"/>
    <col min="5" max="8" width="20.7109375" style="97" customWidth="1"/>
    <col min="9" max="9" width="20.7109375" style="17" customWidth="1"/>
    <col min="10" max="10" width="9.140625" style="17"/>
    <col min="11" max="11" width="10.140625" style="17" customWidth="1"/>
    <col min="12" max="16384" width="9.140625" style="17"/>
  </cols>
  <sheetData>
    <row r="1" spans="1:9" s="22" customFormat="1" ht="23.25" x14ac:dyDescent="0.35">
      <c r="A1" s="22" t="s">
        <v>1</v>
      </c>
      <c r="B1" s="24" t="str">
        <f ca="1">'Input Global'!B1</f>
        <v>2012 Pricing Trends - model - Vic</v>
      </c>
      <c r="C1" s="24"/>
      <c r="D1" s="24"/>
      <c r="E1" s="99"/>
      <c r="F1" s="99"/>
      <c r="G1" s="98"/>
      <c r="H1" s="98"/>
      <c r="I1" s="79" t="s">
        <v>30</v>
      </c>
    </row>
    <row r="2" spans="1:9" s="22" customFormat="1" ht="19.5" thickBot="1" x14ac:dyDescent="0.35">
      <c r="B2" s="25" t="str">
        <f ca="1">RIGHT(CELL("filename",B2),LEN(CELL("filename",B2))-SEARCH("]",CELL("filename",B2)))</f>
        <v>Output</v>
      </c>
      <c r="C2" s="26"/>
      <c r="D2" s="26"/>
      <c r="E2" s="100"/>
      <c r="F2" s="100"/>
      <c r="G2" s="98"/>
      <c r="H2" s="98"/>
      <c r="I2" s="85" t="s">
        <v>24</v>
      </c>
    </row>
    <row r="3" spans="1:9" s="22" customFormat="1" ht="17.25" thickBot="1" x14ac:dyDescent="0.35">
      <c r="E3" s="98"/>
      <c r="F3" s="98"/>
      <c r="G3" s="98"/>
      <c r="H3" s="98"/>
      <c r="I3" s="86" t="s">
        <v>31</v>
      </c>
    </row>
    <row r="4" spans="1:9" s="22" customFormat="1" ht="15.75" x14ac:dyDescent="0.3">
      <c r="B4" s="27"/>
      <c r="C4" s="28" t="s">
        <v>8</v>
      </c>
      <c r="D4" s="28"/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9" ht="18.75" x14ac:dyDescent="0.3">
      <c r="A6" s="16" t="s">
        <v>37</v>
      </c>
      <c r="C6" s="16" t="s">
        <v>11</v>
      </c>
    </row>
    <row r="8" spans="1:9" ht="17.25" thickBot="1" x14ac:dyDescent="0.35">
      <c r="A8" s="88" t="str">
        <f ca="1">'Calc (Jurisdiction)'!B2</f>
        <v>Calc (Jurisdiction)</v>
      </c>
      <c r="B8"/>
      <c r="C8"/>
      <c r="D8"/>
      <c r="E8"/>
      <c r="F8"/>
      <c r="G8"/>
      <c r="H8"/>
    </row>
    <row r="9" spans="1:9" ht="17.25" thickBot="1" x14ac:dyDescent="0.35">
      <c r="A9" t="str">
        <f>'Calc (Jurisdiction)'!A9</f>
        <v>Transmission</v>
      </c>
      <c r="B9"/>
      <c r="C9" t="s">
        <v>63</v>
      </c>
      <c r="D9"/>
      <c r="E9" s="84">
        <f ca="1">IF(LEFT(A8,5)="blank",0,'Calc (Jurisdiction)'!$E$86*'Calc (Jurisdiction)'!$E$160+'Calc (Jurisdiction)'!$E$101*'Calc (Jurisdiction)'!$E$161+'Calc (Jurisdiction)'!$E$116*'Calc (Jurisdiction)'!$E$162+'Calc (Jurisdiction)'!$E$131*'Calc (Jurisdiction)'!$E$163+'Calc (Jurisdiction)'!$E$146*'Calc (Jurisdiction)'!$E$164)</f>
        <v>1.2861569700547284</v>
      </c>
      <c r="F9" s="84">
        <f ca="1">IF(LEFT(A8,5)="blank",0,'Calc (Jurisdiction)'!$F$86*'Calc (Jurisdiction)'!$F$160+'Calc (Jurisdiction)'!$F$101*'Calc (Jurisdiction)'!$F$161+'Calc (Jurisdiction)'!$F$116*'Calc (Jurisdiction)'!$F$162+'Calc (Jurisdiction)'!$F$131*'Calc (Jurisdiction)'!$F$163+'Calc (Jurisdiction)'!$F$146*'Calc (Jurisdiction)'!$F$164)</f>
        <v>1.3144989314465234</v>
      </c>
      <c r="G9" s="84">
        <f ca="1">IF(LEFT(A8,5)="blank",0,'Calc (Jurisdiction)'!$G$86*'Calc (Jurisdiction)'!$G$160+'Calc (Jurisdiction)'!$G$101*'Calc (Jurisdiction)'!$G$161+'Calc (Jurisdiction)'!$G$116*'Calc (Jurisdiction)'!$G$162+'Calc (Jurisdiction)'!$G$131*'Calc (Jurisdiction)'!$G$163+'Calc (Jurisdiction)'!$G$146*'Calc (Jurisdiction)'!$G$164)</f>
        <v>1.3439906562609254</v>
      </c>
      <c r="H9" s="84">
        <f ca="1">IF(LEFT(A8,5)="blank",0,'Calc (Jurisdiction)'!$H$86*'Calc (Jurisdiction)'!$H$160+'Calc (Jurisdiction)'!$H$101*'Calc (Jurisdiction)'!$H$161+'Calc (Jurisdiction)'!$H$116*'Calc (Jurisdiction)'!$H$162+'Calc (Jurisdiction)'!$H$131*'Calc (Jurisdiction)'!$H$163+'Calc (Jurisdiction)'!$H$146*'Calc (Jurisdiction)'!$H$164)</f>
        <v>1.3735887469231676</v>
      </c>
    </row>
    <row r="10" spans="1:9" ht="17.25" thickBot="1" x14ac:dyDescent="0.35">
      <c r="A10" t="str">
        <f>'Calc (Jurisdiction)'!A10</f>
        <v>Distribution</v>
      </c>
      <c r="B10"/>
      <c r="C10" t="s">
        <v>63</v>
      </c>
      <c r="D10"/>
      <c r="E10" s="84">
        <f ca="1">IF(LEFT(A8,5)="blank",0,'Calc (Jurisdiction)'!$E$87*'Calc (Jurisdiction)'!$E$160+'Calc (Jurisdiction)'!$E$102*'Calc (Jurisdiction)'!$E$161+'Calc (Jurisdiction)'!$E$117*'Calc (Jurisdiction)'!$E$162+'Calc (Jurisdiction)'!$E$132*'Calc (Jurisdiction)'!$E$163+'Calc (Jurisdiction)'!$E$147*'Calc (Jurisdiction)'!$E$164)</f>
        <v>8.5175546083712295</v>
      </c>
      <c r="F10" s="84">
        <f ca="1">IF(LEFT(A8,5)="blank",0,'Calc (Jurisdiction)'!$F$87*'Calc (Jurisdiction)'!$F$160+'Calc (Jurisdiction)'!$F$102*'Calc (Jurisdiction)'!$F$161+'Calc (Jurisdiction)'!$F$117*'Calc (Jurisdiction)'!$F$162+'Calc (Jurisdiction)'!$F$132*'Calc (Jurisdiction)'!$F$163+'Calc (Jurisdiction)'!$F$147*'Calc (Jurisdiction)'!$F$164)</f>
        <v>9.4644234309865283</v>
      </c>
      <c r="G10" s="84">
        <f ca="1">IF(LEFT(A8,5)="blank",0,'Calc (Jurisdiction)'!$G$87*'Calc (Jurisdiction)'!$G$160+'Calc (Jurisdiction)'!$G$102*'Calc (Jurisdiction)'!$G$161+'Calc (Jurisdiction)'!$G$117*'Calc (Jurisdiction)'!$G$162+'Calc (Jurisdiction)'!$G$132*'Calc (Jurisdiction)'!$G$163+'Calc (Jurisdiction)'!$G$147*'Calc (Jurisdiction)'!$G$164)</f>
        <v>10.625634083225936</v>
      </c>
      <c r="H10" s="84">
        <f ca="1">IF(LEFT(A8,5)="blank",0,'Calc (Jurisdiction)'!$H$87*'Calc (Jurisdiction)'!$H$160+'Calc (Jurisdiction)'!$H$102*'Calc (Jurisdiction)'!$H$161+'Calc (Jurisdiction)'!$H$117*'Calc (Jurisdiction)'!$H$162+'Calc (Jurisdiction)'!$H$132*'Calc (Jurisdiction)'!$H$163+'Calc (Jurisdiction)'!$H$147*'Calc (Jurisdiction)'!$H$164)</f>
        <v>11.84216302415671</v>
      </c>
    </row>
    <row r="11" spans="1:9" ht="17.25" thickBot="1" x14ac:dyDescent="0.35">
      <c r="A11" t="s">
        <v>155</v>
      </c>
      <c r="B11"/>
      <c r="C11" t="s">
        <v>63</v>
      </c>
      <c r="D11"/>
      <c r="E11" s="84">
        <f ca="1">IF(LEFT(A8,5)="blank",0,'Calc (Jurisdiction)'!$E$89*'Calc (Jurisdiction)'!$E$160+'Calc (Jurisdiction)'!$E$104*'Calc (Jurisdiction)'!$E$161+'Calc (Jurisdiction)'!$E$119*'Calc (Jurisdiction)'!$E$162+'Calc (Jurisdiction)'!$E$134*'Calc (Jurisdiction)'!$E$163+'Calc (Jurisdiction)'!$E$149*'Calc (Jurisdiction)'!$E$164)</f>
        <v>17.454570069970242</v>
      </c>
      <c r="F11" s="84">
        <f ca="1">IF(LEFT(A8,5)="blank",0,'Calc (Jurisdiction)'!$F$89*'Calc (Jurisdiction)'!$F$160+'Calc (Jurisdiction)'!$F$104*'Calc (Jurisdiction)'!$F$161+'Calc (Jurisdiction)'!$F$119*'Calc (Jurisdiction)'!$F$162+'Calc (Jurisdiction)'!$F$134*'Calc (Jurisdiction)'!$F$163+'Calc (Jurisdiction)'!$F$149*'Calc (Jurisdiction)'!$F$164)</f>
        <v>17.237918348391439</v>
      </c>
      <c r="G11" s="84">
        <f ca="1">IF(LEFT(A8,5)="blank",0,'Calc (Jurisdiction)'!$G$89*'Calc (Jurisdiction)'!$G$160+'Calc (Jurisdiction)'!$G$104*'Calc (Jurisdiction)'!$G$161+'Calc (Jurisdiction)'!$G$119*'Calc (Jurisdiction)'!$G$162+'Calc (Jurisdiction)'!$G$134*'Calc (Jurisdiction)'!$G$163+'Calc (Jurisdiction)'!$G$149*'Calc (Jurisdiction)'!$G$164)</f>
        <v>16.961499584836254</v>
      </c>
      <c r="H11" s="84">
        <f ca="1">IF(LEFT(A8,5)="blank",0,'Calc (Jurisdiction)'!$H$89*'Calc (Jurisdiction)'!$H$160+'Calc (Jurisdiction)'!$H$104*'Calc (Jurisdiction)'!$H$161+'Calc (Jurisdiction)'!$H$119*'Calc (Jurisdiction)'!$H$162+'Calc (Jurisdiction)'!$H$134*'Calc (Jurisdiction)'!$H$163+'Calc (Jurisdiction)'!$H$149*'Calc (Jurisdiction)'!$H$164)</f>
        <v>18.022631662664157</v>
      </c>
    </row>
    <row r="12" spans="1:9" ht="17.25" thickBot="1" x14ac:dyDescent="0.35">
      <c r="A12" t="str">
        <f>'Calc (Jurisdiction)'!A13</f>
        <v>Green Schemes</v>
      </c>
      <c r="B12"/>
      <c r="C12"/>
      <c r="D12"/>
      <c r="E12" s="89"/>
      <c r="F12" s="90"/>
      <c r="G12" s="89"/>
      <c r="H12" s="89"/>
    </row>
    <row r="13" spans="1:9" ht="17.25" thickBot="1" x14ac:dyDescent="0.35">
      <c r="A13" s="11" t="str">
        <f>'Calc (Jurisdiction)'!A14</f>
        <v>Feed-in Tariffs</v>
      </c>
      <c r="B13"/>
      <c r="C13" t="s">
        <v>63</v>
      </c>
      <c r="D13"/>
      <c r="E13" s="84">
        <f ca="1">IF(LEFT(A8,5)="blank",0,'Calc (Jurisdiction)'!E$91*'Calc (Jurisdiction)'!E$160+'Calc (Jurisdiction)'!E$106*'Calc (Jurisdiction)'!E$161+'Calc (Jurisdiction)'!E$121*'Calc (Jurisdiction)'!E$162+'Calc (Jurisdiction)'!E$136*'Calc (Jurisdiction)'!E$163+'Calc (Jurisdiction)'!E$151*'Calc (Jurisdiction)'!E$164)</f>
        <v>0.18753323149659687</v>
      </c>
      <c r="F13" s="84">
        <f ca="1">IF(LEFT(A8,5)="blank",0,'Calc (Jurisdiction)'!F$91*'Calc (Jurisdiction)'!F$160+'Calc (Jurisdiction)'!F$106*'Calc (Jurisdiction)'!F$161+'Calc (Jurisdiction)'!F$121*'Calc (Jurisdiction)'!F$162+'Calc (Jurisdiction)'!F$136*'Calc (Jurisdiction)'!F$163+'Calc (Jurisdiction)'!F$151*'Calc (Jurisdiction)'!F$164)</f>
        <v>0.19442578682915262</v>
      </c>
      <c r="G13" s="84">
        <f ca="1">IF(LEFT(A8,5)="blank",0,'Calc (Jurisdiction)'!G$91*'Calc (Jurisdiction)'!G$160+'Calc (Jurisdiction)'!G$106*'Calc (Jurisdiction)'!G$161+'Calc (Jurisdiction)'!G$121*'Calc (Jurisdiction)'!G$162+'Calc (Jurisdiction)'!G$136*'Calc (Jurisdiction)'!G$163+'Calc (Jurisdiction)'!G$151*'Calc (Jurisdiction)'!G$164)</f>
        <v>0.20188693662721782</v>
      </c>
      <c r="H13" s="84">
        <f ca="1">IF(LEFT(A8,5)="blank",0,'Calc (Jurisdiction)'!H$91*'Calc (Jurisdiction)'!H$160+'Calc (Jurisdiction)'!H$106*'Calc (Jurisdiction)'!H$161+'Calc (Jurisdiction)'!H$121*'Calc (Jurisdiction)'!H$162+'Calc (Jurisdiction)'!H$136*'Calc (Jurisdiction)'!H$163+'Calc (Jurisdiction)'!H$151*'Calc (Jurisdiction)'!H$164)</f>
        <v>0.2090727265141272</v>
      </c>
    </row>
    <row r="14" spans="1:9" ht="17.25" thickBot="1" x14ac:dyDescent="0.35">
      <c r="A14" s="11" t="str">
        <f>'Calc (Jurisdiction)'!A15</f>
        <v>Carbon costs</v>
      </c>
      <c r="B14"/>
      <c r="C14" t="s">
        <v>63</v>
      </c>
      <c r="D14"/>
      <c r="E14" s="84">
        <f ca="1">IF(LEFT(A8,5)="blank",0,'Calc (Jurisdiction)'!E$92*'Calc (Jurisdiction)'!E$160+'Calc (Jurisdiction)'!E$107*'Calc (Jurisdiction)'!E$161+'Calc (Jurisdiction)'!E$122*'Calc (Jurisdiction)'!E$162+'Calc (Jurisdiction)'!E$137*'Calc (Jurisdiction)'!E$163+'Calc (Jurisdiction)'!E$152*'Calc (Jurisdiction)'!E$164)</f>
        <v>0</v>
      </c>
      <c r="F14" s="84">
        <f ca="1">IF(LEFT(A8,5)="blank",0,'Calc (Jurisdiction)'!F$92*'Calc (Jurisdiction)'!F$160+'Calc (Jurisdiction)'!F$107*'Calc (Jurisdiction)'!F$161+'Calc (Jurisdiction)'!F$122*'Calc (Jurisdiction)'!F$162+'Calc (Jurisdiction)'!F$137*'Calc (Jurisdiction)'!F$163+'Calc (Jurisdiction)'!F$152*'Calc (Jurisdiction)'!F$164)</f>
        <v>2.2400000000000002</v>
      </c>
      <c r="G14" s="84">
        <f ca="1">IF(LEFT(A8,5)="blank",0,'Calc (Jurisdiction)'!G$92*'Calc (Jurisdiction)'!G$160+'Calc (Jurisdiction)'!G$107*'Calc (Jurisdiction)'!G$161+'Calc (Jurisdiction)'!G$122*'Calc (Jurisdiction)'!G$162+'Calc (Jurisdiction)'!G$137*'Calc (Jurisdiction)'!G$163+'Calc (Jurisdiction)'!G$152*'Calc (Jurisdiction)'!G$164)</f>
        <v>2.5399227337683445</v>
      </c>
      <c r="H14" s="84">
        <f ca="1">IF(LEFT(A8,5)="blank",0,'Calc (Jurisdiction)'!H$92*'Calc (Jurisdiction)'!H$160+'Calc (Jurisdiction)'!H$107*'Calc (Jurisdiction)'!H$161+'Calc (Jurisdiction)'!H$122*'Calc (Jurisdiction)'!H$162+'Calc (Jurisdiction)'!H$137*'Calc (Jurisdiction)'!H$163+'Calc (Jurisdiction)'!H$152*'Calc (Jurisdiction)'!H$164)</f>
        <v>2.5217973641642359</v>
      </c>
    </row>
    <row r="15" spans="1:9" ht="17.25" thickBot="1" x14ac:dyDescent="0.35">
      <c r="A15" s="11" t="str">
        <f>'Calc (Jurisdiction)'!A16</f>
        <v>Large Scale Renewable Energy Target</v>
      </c>
      <c r="B15"/>
      <c r="C15" t="s">
        <v>63</v>
      </c>
      <c r="D15"/>
      <c r="E15" s="84">
        <f ca="1">IF(LEFT(A8,5)="blank",0,'Calc (Jurisdiction)'!$E$93*'Calc (Jurisdiction)'!$E$160+'Calc (Jurisdiction)'!$E$108*'Calc (Jurisdiction)'!$E$161+'Calc (Jurisdiction)'!$E$123*'Calc (Jurisdiction)'!$E$162+'Calc (Jurisdiction)'!$E$138*'Calc (Jurisdiction)'!$E$163+'Calc (Jurisdiction)'!$E$153*'Calc (Jurisdiction)'!$E$164)</f>
        <v>0.44267417909205159</v>
      </c>
      <c r="F15" s="84">
        <f ca="1">IF(LEFT(A8,5)="blank",0,'Calc (Jurisdiction)'!$F$93*'Calc (Jurisdiction)'!$F$160+'Calc (Jurisdiction)'!$F$108*'Calc (Jurisdiction)'!$F$161+'Calc (Jurisdiction)'!$F$123*'Calc (Jurisdiction)'!$F$162+'Calc (Jurisdiction)'!$F$138*'Calc (Jurisdiction)'!$F$163+'Calc (Jurisdiction)'!$F$153*'Calc (Jurisdiction)'!$F$164)</f>
        <v>0.6628193665535661</v>
      </c>
      <c r="G15" s="84">
        <f ca="1">IF(LEFT(A8,5)="blank",0,'Calc (Jurisdiction)'!$G$93*'Calc (Jurisdiction)'!$G$160+'Calc (Jurisdiction)'!$G$108*'Calc (Jurisdiction)'!$G$161+'Calc (Jurisdiction)'!$G$123*'Calc (Jurisdiction)'!$G$162+'Calc (Jurisdiction)'!$G$138*'Calc (Jurisdiction)'!$G$163+'Calc (Jurisdiction)'!$G$153*'Calc (Jurisdiction)'!$G$164)</f>
        <v>0.71024842650382625</v>
      </c>
      <c r="H15" s="84">
        <f ca="1">IF(LEFT(A8,5)="blank",0,'Calc (Jurisdiction)'!$H$93*'Calc (Jurisdiction)'!$H$160+'Calc (Jurisdiction)'!$H$108*'Calc (Jurisdiction)'!$H$161+'Calc (Jurisdiction)'!$H$123*'Calc (Jurisdiction)'!$H$162+'Calc (Jurisdiction)'!$H$138*'Calc (Jurisdiction)'!$H$163+'Calc (Jurisdiction)'!$H$153*'Calc (Jurisdiction)'!$H$164)</f>
        <v>0.75212223266646072</v>
      </c>
    </row>
    <row r="16" spans="1:9" ht="17.25" thickBot="1" x14ac:dyDescent="0.35">
      <c r="A16" s="11" t="str">
        <f>'Calc (Jurisdiction)'!A17</f>
        <v>Small Scale Renewable Energy Scheme</v>
      </c>
      <c r="B16"/>
      <c r="C16" t="s">
        <v>63</v>
      </c>
      <c r="D16"/>
      <c r="E16" s="84">
        <f ca="1">IF(LEFT(A8,5)="blank",0,'Calc (Jurisdiction)'!$E$94*'Calc (Jurisdiction)'!$E$160+'Calc (Jurisdiction)'!$E$109*'Calc (Jurisdiction)'!$E$161+'Calc (Jurisdiction)'!$E$124*'Calc (Jurisdiction)'!$E$162+'Calc (Jurisdiction)'!$E$139*'Calc (Jurisdiction)'!$E$163+'Calc (Jurisdiction)'!$E$154*'Calc (Jurisdiction)'!$E$164)</f>
        <v>0.5052261771356179</v>
      </c>
      <c r="F16" s="84">
        <f ca="1">IF(LEFT(A8,5)="blank",0,'Calc (Jurisdiction)'!$F$94*'Calc (Jurisdiction)'!$F$160+'Calc (Jurisdiction)'!$F$109*'Calc (Jurisdiction)'!$F$161+'Calc (Jurisdiction)'!$F$124*'Calc (Jurisdiction)'!$F$162+'Calc (Jurisdiction)'!$F$139*'Calc (Jurisdiction)'!$F$163+'Calc (Jurisdiction)'!$F$154*'Calc (Jurisdiction)'!$F$164)</f>
        <v>0.32896978292783663</v>
      </c>
      <c r="G16" s="84">
        <f ca="1">IF(LEFT(A8,5)="blank",0,'Calc (Jurisdiction)'!$G$94*'Calc (Jurisdiction)'!$G$160+'Calc (Jurisdiction)'!$G$109*'Calc (Jurisdiction)'!$G$161+'Calc (Jurisdiction)'!$G$124*'Calc (Jurisdiction)'!$G$162+'Calc (Jurisdiction)'!$G$139*'Calc (Jurisdiction)'!$G$163+'Calc (Jurisdiction)'!$G$154*'Calc (Jurisdiction)'!$G$164)</f>
        <v>0.14492245719868815</v>
      </c>
      <c r="H16" s="84">
        <f ca="1">IF(LEFT(A8,5)="blank",0,'Calc (Jurisdiction)'!$H$94*'Calc (Jurisdiction)'!$H$160+'Calc (Jurisdiction)'!$H$109*'Calc (Jurisdiction)'!$H$161+'Calc (Jurisdiction)'!$H$124*'Calc (Jurisdiction)'!$H$162+'Calc (Jurisdiction)'!$H$139*'Calc (Jurisdiction)'!$H$163+'Calc (Jurisdiction)'!$H$154*'Calc (Jurisdiction)'!$H$164)</f>
        <v>0.12603923759716631</v>
      </c>
    </row>
    <row r="17" spans="1:13" ht="17.25" thickBot="1" x14ac:dyDescent="0.35">
      <c r="A17" s="11" t="str">
        <f>'Calc (Jurisdiction)'!A18</f>
        <v>Energy Saver Incentive</v>
      </c>
      <c r="B17"/>
      <c r="C17" t="s">
        <v>63</v>
      </c>
      <c r="D17"/>
      <c r="E17" s="84">
        <f ca="1">IF(LEFT(A8,5)="blank",0,'Calc (Jurisdiction)'!$E$95*'Calc (Jurisdiction)'!$E$160+'Calc (Jurisdiction)'!$E$110*'Calc (Jurisdiction)'!$E$161+'Calc (Jurisdiction)'!$E$125*'Calc (Jurisdiction)'!$E$162+'Calc (Jurisdiction)'!$E$140*'Calc (Jurisdiction)'!$E$163+'Calc (Jurisdiction)'!$E$155*'Calc (Jurisdiction)'!$E$164)</f>
        <v>0.39</v>
      </c>
      <c r="F17" s="84">
        <f ca="1">IF(LEFT(A8,5)="blank",0,'Calc (Jurisdiction)'!$F$95*'Calc (Jurisdiction)'!$F$160+'Calc (Jurisdiction)'!$F$110*'Calc (Jurisdiction)'!$F$161+'Calc (Jurisdiction)'!$F$125*'Calc (Jurisdiction)'!$F$162+'Calc (Jurisdiction)'!$F$140*'Calc (Jurisdiction)'!$F$163+'Calc (Jurisdiction)'!$F$155*'Calc (Jurisdiction)'!$F$164)</f>
        <v>0.38</v>
      </c>
      <c r="G17" s="84">
        <f ca="1">IF(LEFT(A8,5)="blank",0,'Calc (Jurisdiction)'!$G$95*'Calc (Jurisdiction)'!$G$160+'Calc (Jurisdiction)'!$G$110*'Calc (Jurisdiction)'!$G$161+'Calc (Jurisdiction)'!$G$125*'Calc (Jurisdiction)'!$G$162+'Calc (Jurisdiction)'!$G$140*'Calc (Jurisdiction)'!$G$163+'Calc (Jurisdiction)'!$G$155*'Calc (Jurisdiction)'!$G$164)</f>
        <v>0.38</v>
      </c>
      <c r="H17" s="84">
        <f ca="1">IF(LEFT(A8,5)="blank",0,'Calc (Jurisdiction)'!$H$95*'Calc (Jurisdiction)'!$H$160+'Calc (Jurisdiction)'!$H$110*'Calc (Jurisdiction)'!$H$161+'Calc (Jurisdiction)'!$H$125*'Calc (Jurisdiction)'!$H$162+'Calc (Jurisdiction)'!$H$140*'Calc (Jurisdiction)'!$H$163+'Calc (Jurisdiction)'!$H$155*'Calc (Jurisdiction)'!$H$164)</f>
        <v>0.38</v>
      </c>
    </row>
    <row r="18" spans="1:13" ht="17.25" thickBot="1" x14ac:dyDescent="0.35">
      <c r="A18" t="s">
        <v>53</v>
      </c>
      <c r="B18"/>
      <c r="C18" t="s">
        <v>63</v>
      </c>
      <c r="D18"/>
      <c r="E18" s="159">
        <f ca="1">SUM(E9:E17)</f>
        <v>28.783715236120468</v>
      </c>
      <c r="F18" s="159">
        <f ca="1">SUM(F9:F17)</f>
        <v>31.823055647135043</v>
      </c>
      <c r="G18" s="159">
        <f ca="1">SUM(G9:G17)</f>
        <v>32.908104878421192</v>
      </c>
      <c r="H18" s="159">
        <f ca="1">SUM(H9:H17)</f>
        <v>35.227414994686029</v>
      </c>
    </row>
    <row r="19" spans="1:13" x14ac:dyDescent="0.3">
      <c r="A19"/>
      <c r="B19"/>
      <c r="C19"/>
      <c r="D19"/>
      <c r="E19" s="89"/>
      <c r="F19" s="89"/>
      <c r="G19" s="156"/>
      <c r="H19" s="156"/>
    </row>
    <row r="20" spans="1:13" ht="17.25" thickBot="1" x14ac:dyDescent="0.35">
      <c r="A20" s="88" t="str">
        <f ca="1">'Calc (LRMC Planning case)'!B2</f>
        <v>Calc (LRMC Planning case)</v>
      </c>
      <c r="B20"/>
      <c r="C20"/>
      <c r="D20"/>
      <c r="E20" s="89"/>
      <c r="F20" s="89"/>
      <c r="G20" s="89"/>
      <c r="H20" s="89"/>
    </row>
    <row r="21" spans="1:13" ht="17.25" thickBot="1" x14ac:dyDescent="0.35">
      <c r="A21" t="str">
        <f>A9</f>
        <v>Transmission</v>
      </c>
      <c r="B21"/>
      <c r="C21" t="s">
        <v>63</v>
      </c>
      <c r="D21"/>
      <c r="E21" s="84">
        <f ca="1">IF(LEFT(A20,5)="blank",0,IF(LEFT(A8,5)="blank",0,'Calc (LRMC Planning case)'!$E$86*'Calc (LRMC Planning case)'!$E$160+'Calc (LRMC Planning case)'!$E$101*'Calc (LRMC Planning case)'!$E$161+'Calc (LRMC Planning case)'!$E$116*'Calc (LRMC Planning case)'!$E$162+'Calc (LRMC Planning case)'!$E$131*'Calc (LRMC Planning case)'!$E$163+'Calc (LRMC Planning case)'!$E$146*'Calc (LRMC Planning case)'!$E$164))</f>
        <v>1.2861569700547284</v>
      </c>
      <c r="F21" s="84">
        <f ca="1">IF(LEFT(A20,5)="blank",0,IF(LEFT(A8,5)="blank",0,'Calc (LRMC Planning case)'!$F$86*'Calc (LRMC Planning case)'!$F$160+'Calc (LRMC Planning case)'!$F$101*'Calc (LRMC Planning case)'!$F$161+'Calc (LRMC Planning case)'!$F$116*'Calc (LRMC Planning case)'!$F$162+'Calc (LRMC Planning case)'!$F$131*'Calc (LRMC Planning case)'!$F$163+'Calc (LRMC Planning case)'!$F$146*'Calc (LRMC Planning case)'!$F$164))</f>
        <v>1.3144989314465234</v>
      </c>
      <c r="G21" s="84">
        <f ca="1">IF(LEFT(A20,5)="blank",0,IF(LEFT(A8,5)="blank",0,'Calc (LRMC Planning case)'!$G$86*'Calc (LRMC Planning case)'!$G$160+'Calc (LRMC Planning case)'!$G$101*'Calc (LRMC Planning case)'!$G$161+'Calc (LRMC Planning case)'!$G$116*'Calc (LRMC Planning case)'!$G$162+'Calc (LRMC Planning case)'!$G$131*'Calc (LRMC Planning case)'!$G$163+'Calc (LRMC Planning case)'!$G$146*'Calc (LRMC Planning case)'!$G$164))</f>
        <v>1.3439906562609254</v>
      </c>
      <c r="H21" s="84">
        <f ca="1">IF(LEFT(A20,5)="blank",0,IF(LEFT(A8,5)="blank",0,'Calc (LRMC Planning case)'!$H$86*'Calc (LRMC Planning case)'!$H$160+'Calc (LRMC Planning case)'!$H$101*'Calc (LRMC Planning case)'!$H$161+'Calc (LRMC Planning case)'!$H$116*'Calc (LRMC Planning case)'!$H$162+'Calc (LRMC Planning case)'!$H$131*'Calc (LRMC Planning case)'!$H$163+'Calc (LRMC Planning case)'!$H$146*'Calc (LRMC Planning case)'!$H$164))</f>
        <v>1.3735887469231676</v>
      </c>
    </row>
    <row r="22" spans="1:13" ht="17.25" thickBot="1" x14ac:dyDescent="0.35">
      <c r="A22" t="str">
        <f>A10</f>
        <v>Distribution</v>
      </c>
      <c r="B22"/>
      <c r="C22" t="s">
        <v>63</v>
      </c>
      <c r="D22"/>
      <c r="E22" s="84">
        <f ca="1">IF(LEFT(A20,5)="blank",0,IF(LEFT(A8,5)="blank",0,'Calc (LRMC Planning case)'!$E$87*'Calc (LRMC Planning case)'!$E$160+'Calc (LRMC Planning case)'!$E$102*'Calc (LRMC Planning case)'!$E$161+'Calc (LRMC Planning case)'!$E$117*'Calc (LRMC Planning case)'!$E$162+'Calc (LRMC Planning case)'!$E$132*'Calc (LRMC Planning case)'!$E$163+'Calc (LRMC Planning case)'!$E$147*'Calc (LRMC Planning case)'!$E$164))</f>
        <v>8.5175546083712295</v>
      </c>
      <c r="F22" s="84">
        <f ca="1">IF(LEFT(A20,5)="blank",0,IF(LEFT(A8,5)="blank",0,'Calc (LRMC Planning case)'!$F$87*'Calc (LRMC Planning case)'!$F$160+'Calc (LRMC Planning case)'!$F$102*'Calc (LRMC Planning case)'!$F$161+'Calc (LRMC Planning case)'!$F$117*'Calc (LRMC Planning case)'!$F$162+'Calc (LRMC Planning case)'!$F$132*'Calc (LRMC Planning case)'!$F$163+'Calc (LRMC Planning case)'!$F$147*'Calc (LRMC Planning case)'!$F$164))</f>
        <v>9.4644234309865283</v>
      </c>
      <c r="G22" s="84">
        <f ca="1">IF(LEFT(A20,5)="blank",0,IF(LEFT(A8,5)="blank",0,'Calc (LRMC Planning case)'!$G$87*'Calc (LRMC Planning case)'!$G$160+'Calc (LRMC Planning case)'!$G$102*'Calc (LRMC Planning case)'!$G$161+'Calc (LRMC Planning case)'!$G$117*'Calc (LRMC Planning case)'!$G$162+'Calc (LRMC Planning case)'!$G$132*'Calc (LRMC Planning case)'!$G$163+'Calc (LRMC Planning case)'!$G$147*'Calc (LRMC Planning case)'!$G$164))</f>
        <v>10.625634083225936</v>
      </c>
      <c r="H22" s="84">
        <f ca="1">IF(LEFT(A20,5)="blank",0,IF(LEFT(A8,5)="blank",0,'Calc (LRMC Planning case)'!$H$87*'Calc (LRMC Planning case)'!$H$160+'Calc (LRMC Planning case)'!$H$102*'Calc (LRMC Planning case)'!$H$161+'Calc (LRMC Planning case)'!$H$117*'Calc (LRMC Planning case)'!$H$162+'Calc (LRMC Planning case)'!$H$132*'Calc (LRMC Planning case)'!$H$163+'Calc (LRMC Planning case)'!$H$147*'Calc (LRMC Planning case)'!$H$164))</f>
        <v>11.84216302415671</v>
      </c>
    </row>
    <row r="23" spans="1:13" ht="17.25" thickBot="1" x14ac:dyDescent="0.35">
      <c r="A23" t="str">
        <f>A11</f>
        <v>Retail And Wholesale</v>
      </c>
      <c r="B23"/>
      <c r="C23" t="s">
        <v>63</v>
      </c>
      <c r="D23"/>
      <c r="E23" s="84">
        <f ca="1">IF(LEFT(A20,5)="blank",0,IF(LEFT(A8,5)="blank",0,'Calc (LRMC Planning case)'!$E$89*'Calc (LRMC Planning case)'!$E$160+'Calc (LRMC Planning case)'!$E$104*'Calc (LRMC Planning case)'!$E$161+'Calc (LRMC Planning case)'!$E$119*'Calc (LRMC Planning case)'!$E$162+'Calc (LRMC Planning case)'!$E$134*'Calc (LRMC Planning case)'!$E$163+'Calc (LRMC Planning case)'!$E$149*'Calc (LRMC Planning case)'!$E$164))</f>
        <v>17.454570069970242</v>
      </c>
      <c r="F23" s="84">
        <f ca="1">IF(LEFT(A20,5)="blank",0,IF(LEFT(A8,5)="blank",0,'Calc (LRMC Planning case)'!$F$89*'Calc (LRMC Planning case)'!$F$160+'Calc (LRMC Planning case)'!$F$104*'Calc (LRMC Planning case)'!$F$161+'Calc (LRMC Planning case)'!$F$119*'Calc (LRMC Planning case)'!$F$162+'Calc (LRMC Planning case)'!$F$134*'Calc (LRMC Planning case)'!$F$163+'Calc (LRMC Planning case)'!$F$149*'Calc (LRMC Planning case)'!$F$164))</f>
        <v>17.237918348391439</v>
      </c>
      <c r="G23" s="84">
        <f ca="1">IF(LEFT(A20,5)="blank",0,IF(LEFT(A8,5)="blank",0,'Calc (LRMC Planning case)'!$G$89*'Calc (LRMC Planning case)'!$G$160+'Calc (LRMC Planning case)'!$G$104*'Calc (LRMC Planning case)'!$G$161+'Calc (LRMC Planning case)'!$G$119*'Calc (LRMC Planning case)'!$G$162+'Calc (LRMC Planning case)'!$G$134*'Calc (LRMC Planning case)'!$G$163+'Calc (LRMC Planning case)'!$G$149*'Calc (LRMC Planning case)'!$G$164))</f>
        <v>18.093114725359442</v>
      </c>
      <c r="H23" s="84">
        <f ca="1">IF(LEFT(A20,5)="blank",0,IF(LEFT(A8,5)="blank",0,'Calc (LRMC Planning case)'!$H$89*'Calc (LRMC Planning case)'!$H$160+'Calc (LRMC Planning case)'!$H$104*'Calc (LRMC Planning case)'!$H$161+'Calc (LRMC Planning case)'!$H$119*'Calc (LRMC Planning case)'!$H$162+'Calc (LRMC Planning case)'!$H$134*'Calc (LRMC Planning case)'!$H$163+'Calc (LRMC Planning case)'!$H$149*'Calc (LRMC Planning case)'!$H$164))</f>
        <v>18.838312481871</v>
      </c>
    </row>
    <row r="24" spans="1:13" ht="17.25" thickBot="1" x14ac:dyDescent="0.35">
      <c r="A24" t="str">
        <f>A12</f>
        <v>Green Schemes</v>
      </c>
      <c r="B24"/>
      <c r="C24"/>
      <c r="D24"/>
      <c r="E24" s="89"/>
      <c r="F24" s="90"/>
      <c r="G24" s="89"/>
      <c r="H24" s="89"/>
    </row>
    <row r="25" spans="1:13" ht="17.25" thickBot="1" x14ac:dyDescent="0.35">
      <c r="A25" s="11" t="str">
        <f>A13</f>
        <v>Feed-in Tariffs</v>
      </c>
      <c r="B25"/>
      <c r="C25" t="s">
        <v>63</v>
      </c>
      <c r="D25"/>
      <c r="E25" s="84">
        <f ca="1">IF(LEFT(A20,5)="blank",0,'Calc (LRMC Planning case)'!E$91*'Calc (LRMC Planning case)'!E$160+'Calc (LRMC Planning case)'!E$106*'Calc (LRMC Planning case)'!E$161+'Calc (LRMC Planning case)'!E$121*'Calc (LRMC Planning case)'!E$162+'Calc (LRMC Planning case)'!E$136*'Calc (LRMC Planning case)'!E$163+'Calc (LRMC Planning case)'!E$151*'Calc (LRMC Planning case)'!E$164)</f>
        <v>0.18753323149659687</v>
      </c>
      <c r="F25" s="84">
        <f ca="1">IF(LEFT(A20,5)="blank",0,'Calc (LRMC Planning case)'!F$91*'Calc (LRMC Planning case)'!F$160+'Calc (LRMC Planning case)'!F$106*'Calc (LRMC Planning case)'!F$161+'Calc (LRMC Planning case)'!F$121*'Calc (LRMC Planning case)'!F$162+'Calc (LRMC Planning case)'!F$136*'Calc (LRMC Planning case)'!F$163+'Calc (LRMC Planning case)'!F$151*'Calc (LRMC Planning case)'!F$164)</f>
        <v>0.19442578682915262</v>
      </c>
      <c r="G25" s="84">
        <f ca="1">IF(LEFT(A20,5)="blank",0,'Calc (LRMC Planning case)'!G$91*'Calc (LRMC Planning case)'!G$160+'Calc (LRMC Planning case)'!G$106*'Calc (LRMC Planning case)'!G$161+'Calc (LRMC Planning case)'!G$121*'Calc (LRMC Planning case)'!G$162+'Calc (LRMC Planning case)'!G$136*'Calc (LRMC Planning case)'!G$163+'Calc (LRMC Planning case)'!G$151*'Calc (LRMC Planning case)'!G$164)</f>
        <v>0.20188693662721782</v>
      </c>
      <c r="H25" s="84">
        <f ca="1">IF(LEFT(A20,5)="blank",0,'Calc (LRMC Planning case)'!H$91*'Calc (LRMC Planning case)'!H$160+'Calc (LRMC Planning case)'!H$106*'Calc (LRMC Planning case)'!H$161+'Calc (LRMC Planning case)'!H$121*'Calc (LRMC Planning case)'!H$162+'Calc (LRMC Planning case)'!H$136*'Calc (LRMC Planning case)'!H$163+'Calc (LRMC Planning case)'!H$151*'Calc (LRMC Planning case)'!H$164)</f>
        <v>0.2090727265141272</v>
      </c>
    </row>
    <row r="26" spans="1:13" ht="17.25" thickBot="1" x14ac:dyDescent="0.35">
      <c r="A26" s="11" t="str">
        <f>A14</f>
        <v>Carbon costs</v>
      </c>
      <c r="B26"/>
      <c r="C26" t="s">
        <v>63</v>
      </c>
      <c r="D26"/>
      <c r="E26" s="84">
        <f ca="1">IF(LEFT(A20,5)="blank",0,'Calc (LRMC Planning case)'!E$92*'Calc (LRMC Planning case)'!E$160+'Calc (LRMC Planning case)'!E$107*'Calc (LRMC Planning case)'!E$161+'Calc (LRMC Planning case)'!E$122*'Calc (LRMC Planning case)'!E$162+'Calc (LRMC Planning case)'!E$137*'Calc (LRMC Planning case)'!E$163+'Calc (LRMC Planning case)'!E$152*'Calc (LRMC Planning case)'!E$164)</f>
        <v>0</v>
      </c>
      <c r="F26" s="84">
        <f ca="1">IF(LEFT(A20,5)="blank",0,'Calc (LRMC Planning case)'!F$92*'Calc (LRMC Planning case)'!F$160+'Calc (LRMC Planning case)'!F$107*'Calc (LRMC Planning case)'!F$161+'Calc (LRMC Planning case)'!F$122*'Calc (LRMC Planning case)'!F$162+'Calc (LRMC Planning case)'!F$137*'Calc (LRMC Planning case)'!F$163+'Calc (LRMC Planning case)'!F$152*'Calc (LRMC Planning case)'!F$164)</f>
        <v>2.2400000000000002</v>
      </c>
      <c r="G26" s="84">
        <f ca="1">IF(LEFT(A20,5)="blank",0,'Calc (LRMC Planning case)'!G$92*'Calc (LRMC Planning case)'!G$160+'Calc (LRMC Planning case)'!G$107*'Calc (LRMC Planning case)'!G$161+'Calc (LRMC Planning case)'!G$122*'Calc (LRMC Planning case)'!G$162+'Calc (LRMC Planning case)'!G$137*'Calc (LRMC Planning case)'!G$163+'Calc (LRMC Planning case)'!G$152*'Calc (LRMC Planning case)'!G$164)</f>
        <v>2.3499626957636468</v>
      </c>
      <c r="H26" s="84">
        <f ca="1">IF(LEFT(A20,5)="blank",0,'Calc (LRMC Planning case)'!H$92*'Calc (LRMC Planning case)'!H$160+'Calc (LRMC Planning case)'!H$107*'Calc (LRMC Planning case)'!H$161+'Calc (LRMC Planning case)'!H$122*'Calc (LRMC Planning case)'!H$162+'Calc (LRMC Planning case)'!H$137*'Calc (LRMC Planning case)'!H$163+'Calc (LRMC Planning case)'!H$152*'Calc (LRMC Planning case)'!H$164)</f>
        <v>2.5024636288841631</v>
      </c>
    </row>
    <row r="27" spans="1:13" ht="17.25" thickBot="1" x14ac:dyDescent="0.35">
      <c r="A27" s="11" t="str">
        <f>A15</f>
        <v>Large Scale Renewable Energy Target</v>
      </c>
      <c r="B27"/>
      <c r="C27" t="s">
        <v>63</v>
      </c>
      <c r="D27"/>
      <c r="E27" s="84">
        <f ca="1">IF(LEFT(A20,5)="blank",0,'Calc (LRMC Planning case)'!$E$93*'Calc (LRMC Planning case)'!$E$160+'Calc (LRMC Planning case)'!$E$108*'Calc (LRMC Planning case)'!$E$161+'Calc (LRMC Planning case)'!$E$123*'Calc (LRMC Planning case)'!$E$162+'Calc (LRMC Planning case)'!$E$138*'Calc (LRMC Planning case)'!$E$163+'Calc (LRMC Planning case)'!$E$153*'Calc (LRMC Planning case)'!$E$164)</f>
        <v>0.44267417909205159</v>
      </c>
      <c r="F27" s="84">
        <f ca="1">IF(LEFT(A20,5)="blank",0,'Calc (LRMC Planning case)'!$F$93*'Calc (LRMC Planning case)'!$F$160+'Calc (LRMC Planning case)'!$F$108*'Calc (LRMC Planning case)'!$F$161+'Calc (LRMC Planning case)'!$F$123*'Calc (LRMC Planning case)'!$F$162+'Calc (LRMC Planning case)'!$F$138*'Calc (LRMC Planning case)'!$F$163+'Calc (LRMC Planning case)'!$F$153*'Calc (LRMC Planning case)'!$F$164)</f>
        <v>0.6628193665535661</v>
      </c>
      <c r="G27" s="84">
        <f ca="1">IF(LEFT(A20,5)="blank",0,'Calc (LRMC Planning case)'!$G$93*'Calc (LRMC Planning case)'!$G$160+'Calc (LRMC Planning case)'!$G$108*'Calc (LRMC Planning case)'!$G$161+'Calc (LRMC Planning case)'!$G$123*'Calc (LRMC Planning case)'!$G$162+'Calc (LRMC Planning case)'!$G$138*'Calc (LRMC Planning case)'!$G$163+'Calc (LRMC Planning case)'!$G$153*'Calc (LRMC Planning case)'!$G$164)</f>
        <v>0.71024842650382625</v>
      </c>
      <c r="H27" s="84">
        <f ca="1">IF(LEFT(A20,5)="blank",0,'Calc (LRMC Planning case)'!$H$93*'Calc (LRMC Planning case)'!$H$160+'Calc (LRMC Planning case)'!$H$108*'Calc (LRMC Planning case)'!$H$161+'Calc (LRMC Planning case)'!$H$123*'Calc (LRMC Planning case)'!$H$162+'Calc (LRMC Planning case)'!$H$138*'Calc (LRMC Planning case)'!$H$163+'Calc (LRMC Planning case)'!$H$153*'Calc (LRMC Planning case)'!$H$164)</f>
        <v>0.75212223266646072</v>
      </c>
    </row>
    <row r="28" spans="1:13" ht="17.25" thickBot="1" x14ac:dyDescent="0.35">
      <c r="A28" s="11" t="str">
        <f>A16</f>
        <v>Small Scale Renewable Energy Scheme</v>
      </c>
      <c r="B28"/>
      <c r="C28" t="s">
        <v>63</v>
      </c>
      <c r="D28"/>
      <c r="E28" s="84">
        <f ca="1">IF(LEFT(A20,5)="blank",0,'Calc (LRMC Planning case)'!$E$94*'Calc (LRMC Planning case)'!$E$160+'Calc (LRMC Planning case)'!$E$109*'Calc (LRMC Planning case)'!$E$161+'Calc (LRMC Planning case)'!$E$124*'Calc (LRMC Planning case)'!$E$162+'Calc (LRMC Planning case)'!$E$139*'Calc (LRMC Planning case)'!$E$163+'Calc (LRMC Planning case)'!$E$154*'Calc (LRMC Planning case)'!$E$164)</f>
        <v>0.5052261771356179</v>
      </c>
      <c r="F28" s="84">
        <f ca="1">IF(LEFT(A20,5)="blank",0,'Calc (LRMC Planning case)'!$F$94*'Calc (LRMC Planning case)'!$F$160+'Calc (LRMC Planning case)'!$F$109*'Calc (LRMC Planning case)'!$F$161+'Calc (LRMC Planning case)'!$F$124*'Calc (LRMC Planning case)'!$F$162+'Calc (LRMC Planning case)'!$F$139*'Calc (LRMC Planning case)'!$F$163+'Calc (LRMC Planning case)'!$F$154*'Calc (LRMC Planning case)'!$F$164)</f>
        <v>0.32896978292783663</v>
      </c>
      <c r="G28" s="84">
        <f ca="1">IF(LEFT(A20,5)="blank",0,'Calc (LRMC Planning case)'!$G$94*'Calc (LRMC Planning case)'!$G$160+'Calc (LRMC Planning case)'!$G$109*'Calc (LRMC Planning case)'!$G$161+'Calc (LRMC Planning case)'!$G$124*'Calc (LRMC Planning case)'!$G$162+'Calc (LRMC Planning case)'!$G$139*'Calc (LRMC Planning case)'!$G$163+'Calc (LRMC Planning case)'!$G$154*'Calc (LRMC Planning case)'!$G$164)</f>
        <v>0.14492245719868815</v>
      </c>
      <c r="H28" s="84">
        <f ca="1">IF(LEFT(A20,5)="blank",0,'Calc (LRMC Planning case)'!$H$94*'Calc (LRMC Planning case)'!$H$160+'Calc (LRMC Planning case)'!$H$109*'Calc (LRMC Planning case)'!$H$161+'Calc (LRMC Planning case)'!$H$124*'Calc (LRMC Planning case)'!$H$162+'Calc (LRMC Planning case)'!$H$139*'Calc (LRMC Planning case)'!$H$163+'Calc (LRMC Planning case)'!$H$154*'Calc (LRMC Planning case)'!$H$164)</f>
        <v>0.12603923759716631</v>
      </c>
    </row>
    <row r="29" spans="1:13" ht="17.25" thickBot="1" x14ac:dyDescent="0.35">
      <c r="A29" s="11" t="str">
        <f>A17</f>
        <v>Energy Saver Incentive</v>
      </c>
      <c r="B29"/>
      <c r="C29" t="s">
        <v>63</v>
      </c>
      <c r="D29"/>
      <c r="E29" s="84">
        <f ca="1">IF(LEFT(A20,5)="blank",0,'Calc (LRMC Planning case)'!$E$95*'Calc (LRMC Planning case)'!$E$160+'Calc (LRMC Planning case)'!$E$110*'Calc (LRMC Planning case)'!$E$161+'Calc (LRMC Planning case)'!$E$125*'Calc (LRMC Planning case)'!$E$162+'Calc (LRMC Planning case)'!$E$140*'Calc (LRMC Planning case)'!$E$163+'Calc (LRMC Planning case)'!$E$155*'Calc (LRMC Planning case)'!$E$164)</f>
        <v>0.39</v>
      </c>
      <c r="F29" s="84">
        <f ca="1">IF(LEFT(A20,5)="blank",0,'Calc (LRMC Planning case)'!$F$95*'Calc (LRMC Planning case)'!$F$160+'Calc (LRMC Planning case)'!$F$110*'Calc (LRMC Planning case)'!$F$161+'Calc (LRMC Planning case)'!$F$125*'Calc (LRMC Planning case)'!$F$162+'Calc (LRMC Planning case)'!$F$140*'Calc (LRMC Planning case)'!$F$163+'Calc (LRMC Planning case)'!$F$155*'Calc (LRMC Planning case)'!$F$164)</f>
        <v>0.38</v>
      </c>
      <c r="G29" s="84">
        <f ca="1">IF(LEFT(A20,5)="blank",0,'Calc (LRMC Planning case)'!$G$95*'Calc (LRMC Planning case)'!$G$160+'Calc (LRMC Planning case)'!$G$110*'Calc (LRMC Planning case)'!$G$161+'Calc (LRMC Planning case)'!$G$125*'Calc (LRMC Planning case)'!$G$162+'Calc (LRMC Planning case)'!$G$140*'Calc (LRMC Planning case)'!$G$163+'Calc (LRMC Planning case)'!$G$155*'Calc (LRMC Planning case)'!$G$164)</f>
        <v>0.38</v>
      </c>
      <c r="H29" s="84">
        <f ca="1">IF(LEFT(A20,5)="blank",0,'Calc (LRMC Planning case)'!$H$95*'Calc (LRMC Planning case)'!$H$160+'Calc (LRMC Planning case)'!$H$110*'Calc (LRMC Planning case)'!$H$161+'Calc (LRMC Planning case)'!$H$125*'Calc (LRMC Planning case)'!$H$162+'Calc (LRMC Planning case)'!$H$140*'Calc (LRMC Planning case)'!$H$163+'Calc (LRMC Planning case)'!$H$155*'Calc (LRMC Planning case)'!$H$164)</f>
        <v>0.38</v>
      </c>
    </row>
    <row r="30" spans="1:13" ht="17.25" thickBot="1" x14ac:dyDescent="0.35">
      <c r="A30" t="str">
        <f>A18</f>
        <v>Total</v>
      </c>
      <c r="B30"/>
      <c r="C30" t="s">
        <v>63</v>
      </c>
      <c r="D30"/>
      <c r="E30" s="84">
        <f ca="1">SUM(E21:E29)</f>
        <v>28.783715236120468</v>
      </c>
      <c r="F30" s="84">
        <f ca="1">SUM(F21:F29)</f>
        <v>31.823055647135043</v>
      </c>
      <c r="G30" s="84">
        <f ca="1">SUM(G21:G29)</f>
        <v>33.84975998093968</v>
      </c>
      <c r="H30" s="84">
        <f ca="1">SUM(H21:H29)</f>
        <v>36.023762078612805</v>
      </c>
      <c r="J30" s="29"/>
      <c r="K30" s="29"/>
      <c r="L30" s="29"/>
      <c r="M30" s="29"/>
    </row>
    <row r="31" spans="1:13" x14ac:dyDescent="0.3">
      <c r="A31"/>
      <c r="B31"/>
      <c r="C31"/>
      <c r="D31"/>
      <c r="E31" s="89"/>
      <c r="F31" s="89"/>
      <c r="G31" s="89"/>
      <c r="H31" s="89"/>
    </row>
    <row r="32" spans="1:13" ht="17.25" thickBot="1" x14ac:dyDescent="0.35">
      <c r="A32" s="91" t="str">
        <f ca="1">'Calc (LRMC Slow Rate)'!B2</f>
        <v>Calc (LRMC Slow Rate)</v>
      </c>
      <c r="B32"/>
      <c r="C32"/>
      <c r="D32"/>
      <c r="E32" s="89"/>
      <c r="F32" s="89"/>
      <c r="G32" s="89"/>
      <c r="H32" s="89"/>
    </row>
    <row r="33" spans="1:13" ht="17.25" thickBot="1" x14ac:dyDescent="0.35">
      <c r="A33" t="str">
        <f>A21</f>
        <v>Transmission</v>
      </c>
      <c r="B33"/>
      <c r="C33" t="s">
        <v>63</v>
      </c>
      <c r="D33"/>
      <c r="E33" s="84">
        <f ca="1">IF(LEFT(A32,5)="blank",0,'Calc (LRMC Slow Rate)'!$E$86*'Calc (LRMC Slow Rate)'!$E$160+'Calc (LRMC Slow Rate)'!$E$101*'Calc (LRMC Slow Rate)'!$E$161+'Calc (LRMC Slow Rate)'!$E$116*'Calc (LRMC Slow Rate)'!$E$162+'Calc (LRMC Slow Rate)'!$E$131*'Calc (LRMC Slow Rate)'!$E$163+'Calc (LRMC Slow Rate)'!$E$146*'Calc (LRMC Slow Rate)'!$E$164)</f>
        <v>1.2861569700547284</v>
      </c>
      <c r="F33" s="84">
        <f ca="1">IF(LEFT(A32,5)="blank",0,'Calc (LRMC Slow Rate)'!$F$86*'Calc (LRMC Slow Rate)'!$F$160+'Calc (LRMC Slow Rate)'!$F$101*'Calc (LRMC Slow Rate)'!$F$161+'Calc (LRMC Slow Rate)'!$F$116*'Calc (LRMC Slow Rate)'!$F$162+'Calc (LRMC Slow Rate)'!$F$131*'Calc (LRMC Slow Rate)'!$F$163+'Calc (LRMC Slow Rate)'!$F$146*'Calc (LRMC Slow Rate)'!$F$164)</f>
        <v>1.3144989314465234</v>
      </c>
      <c r="G33" s="84">
        <f ca="1">IF(LEFT(A32,5)="blank",0,'Calc (LRMC Slow Rate)'!$G$86*'Calc (LRMC Slow Rate)'!$G$160+'Calc (LRMC Slow Rate)'!$G$101*'Calc (LRMC Slow Rate)'!$G$161+'Calc (LRMC Slow Rate)'!$G$116*'Calc (LRMC Slow Rate)'!$G$162+'Calc (LRMC Slow Rate)'!$G$131*'Calc (LRMC Slow Rate)'!$G$163+'Calc (LRMC Slow Rate)'!$G$146*'Calc (LRMC Slow Rate)'!$G$164)</f>
        <v>1.3439906562609254</v>
      </c>
      <c r="H33" s="84">
        <f ca="1">IF(LEFT(A32,5)="blank",0,'Calc (LRMC Slow Rate)'!$H$86*'Calc (LRMC Slow Rate)'!$H$160+'Calc (LRMC Slow Rate)'!$H$101*'Calc (LRMC Slow Rate)'!$H$161+'Calc (LRMC Slow Rate)'!$H$116*'Calc (LRMC Slow Rate)'!$H$162+'Calc (LRMC Slow Rate)'!$H$131*'Calc (LRMC Slow Rate)'!$H$163+'Calc (LRMC Slow Rate)'!$H$146*'Calc (LRMC Slow Rate)'!$H$164)</f>
        <v>1.3735887469231676</v>
      </c>
    </row>
    <row r="34" spans="1:13" ht="17.25" thickBot="1" x14ac:dyDescent="0.35">
      <c r="A34" t="str">
        <f>A22</f>
        <v>Distribution</v>
      </c>
      <c r="B34"/>
      <c r="C34" t="s">
        <v>63</v>
      </c>
      <c r="D34"/>
      <c r="E34" s="84">
        <f ca="1">IF(LEFT(A32,5)="blank",0,'Calc (LRMC Slow Rate)'!$E$87*'Calc (LRMC Slow Rate)'!$E$160+'Calc (LRMC Slow Rate)'!$E$102*'Calc (LRMC Slow Rate)'!$E$161+'Calc (LRMC Slow Rate)'!$E$117*'Calc (LRMC Slow Rate)'!$E$162+'Calc (LRMC Slow Rate)'!$E$132*'Calc (LRMC Slow Rate)'!$E$163+'Calc (LRMC Slow Rate)'!$E$147*'Calc (LRMC Slow Rate)'!$E$164)</f>
        <v>8.5175546083712295</v>
      </c>
      <c r="F34" s="84">
        <f ca="1">IF(LEFT(A32,5)="blank",0,'Calc (LRMC Slow Rate)'!$F$87*'Calc (LRMC Slow Rate)'!$F$160+'Calc (LRMC Slow Rate)'!$F$102*'Calc (LRMC Slow Rate)'!$F$161+'Calc (LRMC Slow Rate)'!$F$117*'Calc (LRMC Slow Rate)'!$F$162+'Calc (LRMC Slow Rate)'!$F$132*'Calc (LRMC Slow Rate)'!$F$163+'Calc (LRMC Slow Rate)'!$F$147*'Calc (LRMC Slow Rate)'!$F$164)</f>
        <v>9.4644234309865283</v>
      </c>
      <c r="G34" s="84">
        <f ca="1">IF(LEFT(A32,5)="blank",0,'Calc (LRMC Slow Rate)'!$G$87*'Calc (LRMC Slow Rate)'!$G$160+'Calc (LRMC Slow Rate)'!$G$102*'Calc (LRMC Slow Rate)'!$G$161+'Calc (LRMC Slow Rate)'!$G$117*'Calc (LRMC Slow Rate)'!$G$162+'Calc (LRMC Slow Rate)'!$G$132*'Calc (LRMC Slow Rate)'!$G$163+'Calc (LRMC Slow Rate)'!$G$147*'Calc (LRMC Slow Rate)'!$G$164)</f>
        <v>10.625634083225936</v>
      </c>
      <c r="H34" s="84">
        <f ca="1">IF(LEFT(A32,5)="blank",0,'Calc (LRMC Slow Rate)'!$H$87*'Calc (LRMC Slow Rate)'!$H$160+'Calc (LRMC Slow Rate)'!$H$102*'Calc (LRMC Slow Rate)'!$H$161+'Calc (LRMC Slow Rate)'!$H$117*'Calc (LRMC Slow Rate)'!$H$162+'Calc (LRMC Slow Rate)'!$H$132*'Calc (LRMC Slow Rate)'!$H$163+'Calc (LRMC Slow Rate)'!$H$147*'Calc (LRMC Slow Rate)'!$H$164)</f>
        <v>11.84216302415671</v>
      </c>
    </row>
    <row r="35" spans="1:13" ht="17.25" thickBot="1" x14ac:dyDescent="0.35">
      <c r="A35" t="str">
        <f>A23</f>
        <v>Retail And Wholesale</v>
      </c>
      <c r="B35"/>
      <c r="C35" t="s">
        <v>63</v>
      </c>
      <c r="D35"/>
      <c r="E35" s="84">
        <f ca="1">IF(LEFT(A32,5)="blank",0,'Calc (LRMC Slow Rate)'!$E$89*'Calc (LRMC Slow Rate)'!$E$160+'Calc (LRMC Slow Rate)'!$E$104*'Calc (LRMC Slow Rate)'!$E$161+'Calc (LRMC Slow Rate)'!$E$119*'Calc (LRMC Slow Rate)'!$E$162+'Calc (LRMC Slow Rate)'!$E$134*'Calc (LRMC Slow Rate)'!$E$163+'Calc (LRMC Slow Rate)'!$E$149*'Calc (LRMC Slow Rate)'!$E$164)</f>
        <v>17.454570069970242</v>
      </c>
      <c r="F35" s="84">
        <f ca="1">IF(LEFT(A32,5)="blank",0,'Calc (LRMC Slow Rate)'!$F$89*'Calc (LRMC Slow Rate)'!$F$160+'Calc (LRMC Slow Rate)'!$F$104*'Calc (LRMC Slow Rate)'!$F$161+'Calc (LRMC Slow Rate)'!$F$119*'Calc (LRMC Slow Rate)'!$F$162+'Calc (LRMC Slow Rate)'!$F$134*'Calc (LRMC Slow Rate)'!$F$163+'Calc (LRMC Slow Rate)'!$F$149*'Calc (LRMC Slow Rate)'!$F$164)</f>
        <v>17.237918348391439</v>
      </c>
      <c r="G35" s="84">
        <f ca="1">IF(LEFT(A32,5)="blank",0,'Calc (LRMC Slow Rate)'!$G$89*'Calc (LRMC Slow Rate)'!$G$160+'Calc (LRMC Slow Rate)'!$G$104*'Calc (LRMC Slow Rate)'!$G$161+'Calc (LRMC Slow Rate)'!$G$119*'Calc (LRMC Slow Rate)'!$G$162+'Calc (LRMC Slow Rate)'!$G$134*'Calc (LRMC Slow Rate)'!$G$163+'Calc (LRMC Slow Rate)'!$G$149*'Calc (LRMC Slow Rate)'!$G$164)</f>
        <v>18.207684014565721</v>
      </c>
      <c r="H35" s="84">
        <f ca="1">IF(LEFT(A32,5)="blank",0,'Calc (LRMC Slow Rate)'!$H$89*'Calc (LRMC Slow Rate)'!$H$160+'Calc (LRMC Slow Rate)'!$H$104*'Calc (LRMC Slow Rate)'!$H$161+'Calc (LRMC Slow Rate)'!$H$119*'Calc (LRMC Slow Rate)'!$H$162+'Calc (LRMC Slow Rate)'!$H$134*'Calc (LRMC Slow Rate)'!$H$163+'Calc (LRMC Slow Rate)'!$H$149*'Calc (LRMC Slow Rate)'!$H$164)</f>
        <v>19.030983042346875</v>
      </c>
    </row>
    <row r="36" spans="1:13" ht="17.25" thickBot="1" x14ac:dyDescent="0.35">
      <c r="A36" t="str">
        <f>A24</f>
        <v>Green Schemes</v>
      </c>
      <c r="B36"/>
      <c r="C36"/>
      <c r="D36"/>
      <c r="E36" s="89"/>
      <c r="F36" s="90"/>
      <c r="G36" s="89"/>
      <c r="H36" s="89"/>
    </row>
    <row r="37" spans="1:13" ht="17.25" thickBot="1" x14ac:dyDescent="0.35">
      <c r="A37" s="11" t="str">
        <f>A25</f>
        <v>Feed-in Tariffs</v>
      </c>
      <c r="B37"/>
      <c r="C37" t="s">
        <v>63</v>
      </c>
      <c r="D37"/>
      <c r="E37" s="84">
        <f ca="1">IF(LEFT(A32,5)="blank",0,'Calc (LRMC Slow Rate)'!E$91*'Calc (LRMC Slow Rate)'!E$160+'Calc (LRMC Slow Rate)'!E$106*'Calc (LRMC Slow Rate)'!E$161+'Calc (LRMC Slow Rate)'!E$121*'Calc (LRMC Slow Rate)'!E$162+'Calc (LRMC Slow Rate)'!E$136*'Calc (LRMC Slow Rate)'!E$163+'Calc (LRMC Slow Rate)'!E$151*'Calc (LRMC Slow Rate)'!E$164)</f>
        <v>0.18753323149659687</v>
      </c>
      <c r="F37" s="84">
        <f ca="1">IF(LEFT(A32,5)="blank",0,'Calc (LRMC Slow Rate)'!F$91*'Calc (LRMC Slow Rate)'!F$160+'Calc (LRMC Slow Rate)'!F$106*'Calc (LRMC Slow Rate)'!F$161+'Calc (LRMC Slow Rate)'!F$121*'Calc (LRMC Slow Rate)'!F$162+'Calc (LRMC Slow Rate)'!F$136*'Calc (LRMC Slow Rate)'!F$163+'Calc (LRMC Slow Rate)'!F$151*'Calc (LRMC Slow Rate)'!F$164)</f>
        <v>0.19442578682915262</v>
      </c>
      <c r="G37" s="84">
        <f ca="1">IF(LEFT(A32,5)="blank",0,'Calc (LRMC Slow Rate)'!G$91*'Calc (LRMC Slow Rate)'!G$160+'Calc (LRMC Slow Rate)'!G$106*'Calc (LRMC Slow Rate)'!G$161+'Calc (LRMC Slow Rate)'!G$121*'Calc (LRMC Slow Rate)'!G$162+'Calc (LRMC Slow Rate)'!G$136*'Calc (LRMC Slow Rate)'!G$163+'Calc (LRMC Slow Rate)'!G$151*'Calc (LRMC Slow Rate)'!G$164)</f>
        <v>0.20188693662721782</v>
      </c>
      <c r="H37" s="84">
        <f ca="1">IF(LEFT(A32,5)="blank",0,'Calc (LRMC Slow Rate)'!H$91*'Calc (LRMC Slow Rate)'!H$160+'Calc (LRMC Slow Rate)'!H$106*'Calc (LRMC Slow Rate)'!H$161+'Calc (LRMC Slow Rate)'!H$121*'Calc (LRMC Slow Rate)'!H$162+'Calc (LRMC Slow Rate)'!H$136*'Calc (LRMC Slow Rate)'!H$163+'Calc (LRMC Slow Rate)'!H$151*'Calc (LRMC Slow Rate)'!H$164)</f>
        <v>0.2090727265141272</v>
      </c>
    </row>
    <row r="38" spans="1:13" ht="17.25" thickBot="1" x14ac:dyDescent="0.35">
      <c r="A38" s="11" t="str">
        <f>A26</f>
        <v>Carbon costs</v>
      </c>
      <c r="B38"/>
      <c r="C38" t="s">
        <v>63</v>
      </c>
      <c r="D38"/>
      <c r="E38" s="84">
        <f ca="1">IF(LEFT(A32,5)="blank",0,'Calc (LRMC Slow Rate)'!E$92*'Calc (LRMC Slow Rate)'!E$160+'Calc (LRMC Slow Rate)'!E$107*'Calc (LRMC Slow Rate)'!E$161+'Calc (LRMC Slow Rate)'!E$122*'Calc (LRMC Slow Rate)'!E$162+'Calc (LRMC Slow Rate)'!E$137*'Calc (LRMC Slow Rate)'!E$163+'Calc (LRMC Slow Rate)'!E$152*'Calc (LRMC Slow Rate)'!E$164)</f>
        <v>0</v>
      </c>
      <c r="F38" s="84">
        <f ca="1">IF(LEFT(A32,5)="blank",0,'Calc (LRMC Slow Rate)'!F$92*'Calc (LRMC Slow Rate)'!F$160+'Calc (LRMC Slow Rate)'!F$107*'Calc (LRMC Slow Rate)'!F$161+'Calc (LRMC Slow Rate)'!F$122*'Calc (LRMC Slow Rate)'!F$162+'Calc (LRMC Slow Rate)'!F$137*'Calc (LRMC Slow Rate)'!F$163+'Calc (LRMC Slow Rate)'!F$152*'Calc (LRMC Slow Rate)'!F$164)</f>
        <v>2.2400000000000002</v>
      </c>
      <c r="G38" s="84">
        <f ca="1">IF(LEFT(A32,5)="blank",0,'Calc (LRMC Slow Rate)'!G$92*'Calc (LRMC Slow Rate)'!G$160+'Calc (LRMC Slow Rate)'!G$107*'Calc (LRMC Slow Rate)'!G$161+'Calc (LRMC Slow Rate)'!G$122*'Calc (LRMC Slow Rate)'!G$162+'Calc (LRMC Slow Rate)'!G$137*'Calc (LRMC Slow Rate)'!G$163+'Calc (LRMC Slow Rate)'!G$152*'Calc (LRMC Slow Rate)'!G$164)</f>
        <v>2.3681233346187383</v>
      </c>
      <c r="H38" s="84">
        <f ca="1">IF(LEFT(A32,5)="blank",0,'Calc (LRMC Slow Rate)'!H$92*'Calc (LRMC Slow Rate)'!H$160+'Calc (LRMC Slow Rate)'!H$107*'Calc (LRMC Slow Rate)'!H$161+'Calc (LRMC Slow Rate)'!H$122*'Calc (LRMC Slow Rate)'!H$162+'Calc (LRMC Slow Rate)'!H$137*'Calc (LRMC Slow Rate)'!H$163+'Calc (LRMC Slow Rate)'!H$152*'Calc (LRMC Slow Rate)'!H$164)</f>
        <v>2.472477168568751</v>
      </c>
    </row>
    <row r="39" spans="1:13" ht="17.25" thickBot="1" x14ac:dyDescent="0.35">
      <c r="A39" s="11" t="str">
        <f>A27</f>
        <v>Large Scale Renewable Energy Target</v>
      </c>
      <c r="B39"/>
      <c r="C39" t="s">
        <v>63</v>
      </c>
      <c r="D39"/>
      <c r="E39" s="84">
        <f ca="1">IF(LEFT(A32,5)="blank",0,'Calc (LRMC Slow Rate)'!$E$93*'Calc (LRMC Slow Rate)'!$E$160+'Calc (LRMC Slow Rate)'!$E$108*'Calc (LRMC Slow Rate)'!$E$161+'Calc (LRMC Slow Rate)'!$E$123*'Calc (LRMC Slow Rate)'!$E$162+'Calc (LRMC Slow Rate)'!$E$138*'Calc (LRMC Slow Rate)'!$E$163+'Calc (LRMC Slow Rate)'!$E$153*'Calc (LRMC Slow Rate)'!$E$164)</f>
        <v>0.44267417909205159</v>
      </c>
      <c r="F39" s="84">
        <f ca="1">IF(LEFT(A32,5)="blank",0,'Calc (LRMC Slow Rate)'!$F$93*'Calc (LRMC Slow Rate)'!$F$160+'Calc (LRMC Slow Rate)'!$F$108*'Calc (LRMC Slow Rate)'!$F$161+'Calc (LRMC Slow Rate)'!$F$123*'Calc (LRMC Slow Rate)'!$F$162+'Calc (LRMC Slow Rate)'!$F$138*'Calc (LRMC Slow Rate)'!$F$163+'Calc (LRMC Slow Rate)'!$F$153*'Calc (LRMC Slow Rate)'!$F$164)</f>
        <v>0.6628193665535661</v>
      </c>
      <c r="G39" s="84">
        <f ca="1">IF(LEFT(A32,5)="blank",0,'Calc (LRMC Slow Rate)'!$G$93*'Calc (LRMC Slow Rate)'!$G$160+'Calc (LRMC Slow Rate)'!$G$108*'Calc (LRMC Slow Rate)'!$G$161+'Calc (LRMC Slow Rate)'!$G$123*'Calc (LRMC Slow Rate)'!$G$162+'Calc (LRMC Slow Rate)'!$G$138*'Calc (LRMC Slow Rate)'!$G$163+'Calc (LRMC Slow Rate)'!$G$153*'Calc (LRMC Slow Rate)'!$G$164)</f>
        <v>0.71417855829845645</v>
      </c>
      <c r="H39" s="84">
        <f ca="1">IF(LEFT(A32,5)="blank",0,'Calc (LRMC Slow Rate)'!$H$93*'Calc (LRMC Slow Rate)'!$H$160+'Calc (LRMC Slow Rate)'!$H$108*'Calc (LRMC Slow Rate)'!$H$161+'Calc (LRMC Slow Rate)'!$H$123*'Calc (LRMC Slow Rate)'!$H$162+'Calc (LRMC Slow Rate)'!$H$138*'Calc (LRMC Slow Rate)'!$H$163+'Calc (LRMC Slow Rate)'!$H$153*'Calc (LRMC Slow Rate)'!$H$164)</f>
        <v>0.75212214575245961</v>
      </c>
    </row>
    <row r="40" spans="1:13" ht="17.25" thickBot="1" x14ac:dyDescent="0.35">
      <c r="A40" s="11" t="str">
        <f>A28</f>
        <v>Small Scale Renewable Energy Scheme</v>
      </c>
      <c r="B40"/>
      <c r="C40" t="s">
        <v>63</v>
      </c>
      <c r="D40"/>
      <c r="E40" s="84">
        <f ca="1">IF(LEFT(A32,5)="blank",0,'Calc (LRMC Slow Rate)'!$E$94*'Calc (LRMC Slow Rate)'!$E$160+'Calc (LRMC Slow Rate)'!$E$109*'Calc (LRMC Slow Rate)'!$E$161+'Calc (LRMC Slow Rate)'!$E$124*'Calc (LRMC Slow Rate)'!$E$162+'Calc (LRMC Slow Rate)'!$E$139*'Calc (LRMC Slow Rate)'!$E$163+'Calc (LRMC Slow Rate)'!$E$154*'Calc (LRMC Slow Rate)'!$E$164)</f>
        <v>0.5052261771356179</v>
      </c>
      <c r="F40" s="84">
        <f ca="1">IF(LEFT(A32,5)="blank",0,'Calc (LRMC Slow Rate)'!$F$94*'Calc (LRMC Slow Rate)'!$F$160+'Calc (LRMC Slow Rate)'!$F$109*'Calc (LRMC Slow Rate)'!$F$161+'Calc (LRMC Slow Rate)'!$F$124*'Calc (LRMC Slow Rate)'!$F$162+'Calc (LRMC Slow Rate)'!$F$139*'Calc (LRMC Slow Rate)'!$F$163+'Calc (LRMC Slow Rate)'!$F$154*'Calc (LRMC Slow Rate)'!$F$164)</f>
        <v>0.32896978292783663</v>
      </c>
      <c r="G40" s="84">
        <f ca="1">IF(LEFT(A32,5)="blank",0,'Calc (LRMC Slow Rate)'!$G$94*'Calc (LRMC Slow Rate)'!$G$160+'Calc (LRMC Slow Rate)'!$G$109*'Calc (LRMC Slow Rate)'!$G$161+'Calc (LRMC Slow Rate)'!$G$124*'Calc (LRMC Slow Rate)'!$G$162+'Calc (LRMC Slow Rate)'!$G$139*'Calc (LRMC Slow Rate)'!$G$163+'Calc (LRMC Slow Rate)'!$G$154*'Calc (LRMC Slow Rate)'!$G$164)</f>
        <v>0.14492245719868815</v>
      </c>
      <c r="H40" s="84">
        <f ca="1">IF(LEFT(A32,5)="blank",0,'Calc (LRMC Slow Rate)'!$H$94*'Calc (LRMC Slow Rate)'!$H$160+'Calc (LRMC Slow Rate)'!$H$109*'Calc (LRMC Slow Rate)'!$H$161+'Calc (LRMC Slow Rate)'!$H$124*'Calc (LRMC Slow Rate)'!$H$162+'Calc (LRMC Slow Rate)'!$H$139*'Calc (LRMC Slow Rate)'!$H$163+'Calc (LRMC Slow Rate)'!$H$154*'Calc (LRMC Slow Rate)'!$H$164)</f>
        <v>0.12603923759716631</v>
      </c>
    </row>
    <row r="41" spans="1:13" ht="17.25" thickBot="1" x14ac:dyDescent="0.35">
      <c r="A41" s="11" t="str">
        <f>A29</f>
        <v>Energy Saver Incentive</v>
      </c>
      <c r="B41"/>
      <c r="C41" t="s">
        <v>63</v>
      </c>
      <c r="D41"/>
      <c r="E41" s="84">
        <f ca="1">IF(LEFT(A32,5)="blank",0,'Calc (LRMC Slow Rate)'!$E$95*'Calc (LRMC Slow Rate)'!$E$160+'Calc (LRMC Slow Rate)'!$E$110*'Calc (LRMC Slow Rate)'!$E$161+'Calc (LRMC Slow Rate)'!$E$125*'Calc (LRMC Slow Rate)'!$E$162+'Calc (LRMC Slow Rate)'!$E$140*'Calc (LRMC Slow Rate)'!$E$163+'Calc (LRMC Slow Rate)'!$E$155*'Calc (LRMC Slow Rate)'!$E$164)</f>
        <v>0.39</v>
      </c>
      <c r="F41" s="84">
        <f ca="1">IF(LEFT(A32,5)="blank",0,'Calc (LRMC Slow Rate)'!$F$95*'Calc (LRMC Slow Rate)'!$F$160+'Calc (LRMC Slow Rate)'!$F$110*'Calc (LRMC Slow Rate)'!$F$161+'Calc (LRMC Slow Rate)'!$F$125*'Calc (LRMC Slow Rate)'!$F$162+'Calc (LRMC Slow Rate)'!$F$140*'Calc (LRMC Slow Rate)'!$F$163+'Calc (LRMC Slow Rate)'!$F$155*'Calc (LRMC Slow Rate)'!$F$164)</f>
        <v>0.38</v>
      </c>
      <c r="G41" s="84">
        <f ca="1">IF(LEFT(A32,5)="blank",0,'Calc (LRMC Slow Rate)'!$G$95*'Calc (LRMC Slow Rate)'!$G$160+'Calc (LRMC Slow Rate)'!$G$110*'Calc (LRMC Slow Rate)'!$G$161+'Calc (LRMC Slow Rate)'!$G$125*'Calc (LRMC Slow Rate)'!$G$162+'Calc (LRMC Slow Rate)'!$G$140*'Calc (LRMC Slow Rate)'!$G$163+'Calc (LRMC Slow Rate)'!$G$155*'Calc (LRMC Slow Rate)'!$G$164)</f>
        <v>0.38</v>
      </c>
      <c r="H41" s="84">
        <f ca="1">IF(LEFT(A32,5)="blank",0,'Calc (LRMC Slow Rate)'!$H$95*'Calc (LRMC Slow Rate)'!$H$160+'Calc (LRMC Slow Rate)'!$H$110*'Calc (LRMC Slow Rate)'!$H$161+'Calc (LRMC Slow Rate)'!$H$125*'Calc (LRMC Slow Rate)'!$H$162+'Calc (LRMC Slow Rate)'!$H$140*'Calc (LRMC Slow Rate)'!$H$163+'Calc (LRMC Slow Rate)'!$H$155*'Calc (LRMC Slow Rate)'!$H$164)</f>
        <v>0.38</v>
      </c>
    </row>
    <row r="42" spans="1:13" ht="17.25" thickBot="1" x14ac:dyDescent="0.35">
      <c r="A42" t="str">
        <f>A30</f>
        <v>Total</v>
      </c>
      <c r="B42"/>
      <c r="C42" t="s">
        <v>63</v>
      </c>
      <c r="D42"/>
      <c r="E42" s="84">
        <f ca="1">SUM(E33:E41)</f>
        <v>28.783715236120468</v>
      </c>
      <c r="F42" s="84">
        <f ca="1">SUM(F33:F41)</f>
        <v>31.823055647135043</v>
      </c>
      <c r="G42" s="84">
        <f ca="1">SUM(G33:G41)</f>
        <v>33.986420040795686</v>
      </c>
      <c r="H42" s="84">
        <f ca="1">SUM(H33:H41)</f>
        <v>36.186446091859267</v>
      </c>
      <c r="J42" s="29"/>
      <c r="K42" s="29"/>
      <c r="L42" s="29"/>
      <c r="M42" s="29"/>
    </row>
    <row r="43" spans="1:13" x14ac:dyDescent="0.3">
      <c r="A43"/>
      <c r="B43"/>
      <c r="C43"/>
      <c r="D43"/>
      <c r="E43" s="89"/>
      <c r="F43" s="89"/>
      <c r="G43" s="89"/>
      <c r="H43" s="89"/>
    </row>
    <row r="44" spans="1:13" ht="17.25" thickBot="1" x14ac:dyDescent="0.35">
      <c r="A44" s="91" t="str">
        <f ca="1">'Calc (Market Planning Case)'!B2</f>
        <v>Calc (Market Planning Case)</v>
      </c>
      <c r="B44"/>
      <c r="C44"/>
      <c r="D44"/>
      <c r="E44" s="89"/>
      <c r="F44" s="89"/>
      <c r="G44" s="89"/>
      <c r="H44" s="89"/>
    </row>
    <row r="45" spans="1:13" ht="17.25" thickBot="1" x14ac:dyDescent="0.35">
      <c r="A45" t="str">
        <f>A33</f>
        <v>Transmission</v>
      </c>
      <c r="B45"/>
      <c r="C45" t="s">
        <v>63</v>
      </c>
      <c r="D45"/>
      <c r="E45" s="84">
        <f ca="1">IF(LEFT(A44,5)="blank",0,'Calc (Market Planning Case)'!$E$86*'Calc (Market Planning Case)'!$E$160+'Calc (Market Planning Case)'!$E$101*'Calc (Market Planning Case)'!$E$161+'Calc (Market Planning Case)'!$E$116*'Calc (Market Planning Case)'!$E$162+'Calc (Market Planning Case)'!$E$131*'Calc (Market Planning Case)'!$E$163+'Calc (Market Planning Case)'!$E$146*'Calc (Market Planning Case)'!$E$164)</f>
        <v>1.2861569700547284</v>
      </c>
      <c r="F45" s="84">
        <f ca="1">IF(LEFT(A44,5)="blank",0,'Calc (Market Planning Case)'!$F$86*'Calc (Market Planning Case)'!$F$160+'Calc (Market Planning Case)'!$F$101*'Calc (Market Planning Case)'!$F$161+'Calc (Market Planning Case)'!$F$116*'Calc (Market Planning Case)'!$F$162+'Calc (Market Planning Case)'!$F$131*'Calc (Market Planning Case)'!$F$163+'Calc (Market Planning Case)'!$F$146*'Calc (Market Planning Case)'!$F$164)</f>
        <v>1.3144989314465234</v>
      </c>
      <c r="G45" s="84">
        <f ca="1">IF(LEFT(A44,5)="blank",0,'Calc (Market Planning Case)'!$G$86*'Calc (Market Planning Case)'!$G$160+'Calc (Market Planning Case)'!$G$101*'Calc (Market Planning Case)'!$G$161+'Calc (Market Planning Case)'!$G$116*'Calc (Market Planning Case)'!$G$162+'Calc (Market Planning Case)'!$G$131*'Calc (Market Planning Case)'!$G$163+'Calc (Market Planning Case)'!$G$146*'Calc (Market Planning Case)'!$G$164)</f>
        <v>1.3439906562609254</v>
      </c>
      <c r="H45" s="84">
        <f ca="1">IF(LEFT(A44,5)="blank",0,'Calc (Market Planning Case)'!$H$86*'Calc (Market Planning Case)'!$H$160+'Calc (Market Planning Case)'!$H$101*'Calc (Market Planning Case)'!$H$161+'Calc (Market Planning Case)'!$H$116*'Calc (Market Planning Case)'!$H$162+'Calc (Market Planning Case)'!$H$131*'Calc (Market Planning Case)'!$H$163+'Calc (Market Planning Case)'!$H$146*'Calc (Market Planning Case)'!$H$164)</f>
        <v>1.3735887469231676</v>
      </c>
    </row>
    <row r="46" spans="1:13" ht="17.25" thickBot="1" x14ac:dyDescent="0.35">
      <c r="A46" t="str">
        <f>A34</f>
        <v>Distribution</v>
      </c>
      <c r="B46"/>
      <c r="C46" t="s">
        <v>63</v>
      </c>
      <c r="D46"/>
      <c r="E46" s="84">
        <f ca="1">IF(LEFT(A44,5)="blank",0,'Calc (Market Planning Case)'!$E$87*'Calc (Market Planning Case)'!$E$160+'Calc (Market Planning Case)'!$E$102*'Calc (Market Planning Case)'!$E$161+'Calc (Market Planning Case)'!$E$117*'Calc (Market Planning Case)'!$E$162+'Calc (Market Planning Case)'!$E$132*'Calc (Market Planning Case)'!$E$163+'Calc (Market Planning Case)'!$E$147*'Calc (Market Planning Case)'!$E$164)</f>
        <v>8.5175546083712295</v>
      </c>
      <c r="F46" s="84">
        <f ca="1">IF(LEFT(A44,5)="blank",0,'Calc (Market Planning Case)'!$F$87*'Calc (Market Planning Case)'!$F$160+'Calc (Market Planning Case)'!$F$102*'Calc (Market Planning Case)'!$F$161+'Calc (Market Planning Case)'!$F$117*'Calc (Market Planning Case)'!$F$162+'Calc (Market Planning Case)'!$F$132*'Calc (Market Planning Case)'!$F$163+'Calc (Market Planning Case)'!$F$147*'Calc (Market Planning Case)'!$F$164)</f>
        <v>9.4644234309865283</v>
      </c>
      <c r="G46" s="84">
        <f ca="1">IF(LEFT(A44,5)="blank",0,'Calc (Market Planning Case)'!$G$87*'Calc (Market Planning Case)'!$G$160+'Calc (Market Planning Case)'!$G$102*'Calc (Market Planning Case)'!$G$161+'Calc (Market Planning Case)'!$G$117*'Calc (Market Planning Case)'!$G$162+'Calc (Market Planning Case)'!$G$132*'Calc (Market Planning Case)'!$G$163+'Calc (Market Planning Case)'!$G$147*'Calc (Market Planning Case)'!$G$164)</f>
        <v>10.625634083225936</v>
      </c>
      <c r="H46" s="84">
        <f ca="1">IF(LEFT(A44,5)="blank",0,'Calc (Market Planning Case)'!$H$87*'Calc (Market Planning Case)'!$H$160+'Calc (Market Planning Case)'!$H$102*'Calc (Market Planning Case)'!$H$161+'Calc (Market Planning Case)'!$H$117*'Calc (Market Planning Case)'!$H$162+'Calc (Market Planning Case)'!$H$132*'Calc (Market Planning Case)'!$H$163+'Calc (Market Planning Case)'!$H$147*'Calc (Market Planning Case)'!$H$164)</f>
        <v>11.84216302415671</v>
      </c>
    </row>
    <row r="47" spans="1:13" ht="17.25" thickBot="1" x14ac:dyDescent="0.35">
      <c r="A47" t="str">
        <f>A35</f>
        <v>Retail And Wholesale</v>
      </c>
      <c r="B47"/>
      <c r="C47" t="s">
        <v>63</v>
      </c>
      <c r="D47"/>
      <c r="E47" s="84">
        <f ca="1">IF(LEFT(A44,5)="blank",0,'Calc (Market Planning Case)'!$E$89*'Calc (Market Planning Case)'!$E$160+'Calc (Market Planning Case)'!$E$104*'Calc (Market Planning Case)'!$E$161+'Calc (Market Planning Case)'!$E$119*'Calc (Market Planning Case)'!$E$162+'Calc (Market Planning Case)'!$E$134*'Calc (Market Planning Case)'!$E$163+'Calc (Market Planning Case)'!$E$149*'Calc (Market Planning Case)'!$E$164)</f>
        <v>17.454570069970242</v>
      </c>
      <c r="F47" s="84">
        <f ca="1">IF(LEFT(A44,5)="blank",0,'Calc (Market Planning Case)'!$F$89*'Calc (Market Planning Case)'!$F$160+'Calc (Market Planning Case)'!$F$104*'Calc (Market Planning Case)'!$F$161+'Calc (Market Planning Case)'!$F$119*'Calc (Market Planning Case)'!$F$162+'Calc (Market Planning Case)'!$F$134*'Calc (Market Planning Case)'!$F$163+'Calc (Market Planning Case)'!$F$149*'Calc (Market Planning Case)'!$F$164)</f>
        <v>17.237918348391439</v>
      </c>
      <c r="G47" s="84">
        <f ca="1">IF(LEFT(A44,5)="blank",0,'Calc (Market Planning Case)'!$G$89*'Calc (Market Planning Case)'!$G$160+'Calc (Market Planning Case)'!$G$104*'Calc (Market Planning Case)'!$G$161+'Calc (Market Planning Case)'!$G$119*'Calc (Market Planning Case)'!$G$162+'Calc (Market Planning Case)'!$G$134*'Calc (Market Planning Case)'!$G$163+'Calc (Market Planning Case)'!$G$149*'Calc (Market Planning Case)'!$G$164)</f>
        <v>16.899533898880694</v>
      </c>
      <c r="H47" s="84">
        <f ca="1">IF(LEFT(A44,5)="blank",0,'Calc (Market Planning Case)'!$H$89*'Calc (Market Planning Case)'!$H$160+'Calc (Market Planning Case)'!$H$104*'Calc (Market Planning Case)'!$H$161+'Calc (Market Planning Case)'!$H$119*'Calc (Market Planning Case)'!$H$162+'Calc (Market Planning Case)'!$H$134*'Calc (Market Planning Case)'!$H$163+'Calc (Market Planning Case)'!$H$149*'Calc (Market Planning Case)'!$H$164)</f>
        <v>18.016940391930831</v>
      </c>
    </row>
    <row r="48" spans="1:13" ht="17.25" thickBot="1" x14ac:dyDescent="0.35">
      <c r="A48" t="str">
        <f>A36</f>
        <v>Green Schemes</v>
      </c>
      <c r="B48"/>
      <c r="C48"/>
      <c r="D48"/>
      <c r="E48" s="89"/>
      <c r="F48" s="90"/>
      <c r="G48" s="89"/>
      <c r="H48" s="89"/>
    </row>
    <row r="49" spans="1:13" ht="17.25" thickBot="1" x14ac:dyDescent="0.35">
      <c r="A49" s="11" t="str">
        <f>A37</f>
        <v>Feed-in Tariffs</v>
      </c>
      <c r="B49"/>
      <c r="C49" t="s">
        <v>63</v>
      </c>
      <c r="D49"/>
      <c r="E49" s="84">
        <f ca="1">IF(LEFT(A44,5)="blank",0,'Calc (Market Planning Case)'!E$91*'Calc (Market Planning Case)'!E$160+'Calc (Market Planning Case)'!E$106*'Calc (Market Planning Case)'!E$161+'Calc (Market Planning Case)'!E$121*'Calc (Market Planning Case)'!E$162+'Calc (Market Planning Case)'!E$136*'Calc (Market Planning Case)'!E$163+'Calc (Market Planning Case)'!E$151*'Calc (Market Planning Case)'!E$164)</f>
        <v>0.18753323149659687</v>
      </c>
      <c r="F49" s="84">
        <f ca="1">IF(LEFT(A44,5)="blank",0,'Calc (Market Planning Case)'!F$91*'Calc (Market Planning Case)'!F$160+'Calc (Market Planning Case)'!F$106*'Calc (Market Planning Case)'!F$161+'Calc (Market Planning Case)'!F$121*'Calc (Market Planning Case)'!F$162+'Calc (Market Planning Case)'!F$136*'Calc (Market Planning Case)'!F$163+'Calc (Market Planning Case)'!F$151*'Calc (Market Planning Case)'!F$164)</f>
        <v>0.19442578682915262</v>
      </c>
      <c r="G49" s="84">
        <f ca="1">IF(LEFT(A44,5)="blank",0,'Calc (Market Planning Case)'!G$91*'Calc (Market Planning Case)'!G$160+'Calc (Market Planning Case)'!G$106*'Calc (Market Planning Case)'!G$161+'Calc (Market Planning Case)'!G$121*'Calc (Market Planning Case)'!G$162+'Calc (Market Planning Case)'!G$136*'Calc (Market Planning Case)'!G$163+'Calc (Market Planning Case)'!G$151*'Calc (Market Planning Case)'!G$164)</f>
        <v>0.20188693662721782</v>
      </c>
      <c r="H49" s="84">
        <f ca="1">IF(LEFT(A44,5)="blank",0,'Calc (Market Planning Case)'!H$91*'Calc (Market Planning Case)'!H$160+'Calc (Market Planning Case)'!H$106*'Calc (Market Planning Case)'!H$161+'Calc (Market Planning Case)'!H$121*'Calc (Market Planning Case)'!H$162+'Calc (Market Planning Case)'!H$136*'Calc (Market Planning Case)'!H$163+'Calc (Market Planning Case)'!H$151*'Calc (Market Planning Case)'!H$164)</f>
        <v>0.2090727265141272</v>
      </c>
    </row>
    <row r="50" spans="1:13" ht="17.25" thickBot="1" x14ac:dyDescent="0.35">
      <c r="A50" s="11" t="str">
        <f>A38</f>
        <v>Carbon costs</v>
      </c>
      <c r="B50"/>
      <c r="C50" t="s">
        <v>63</v>
      </c>
      <c r="D50"/>
      <c r="E50" s="84">
        <f ca="1">IF(LEFT(A44,5)="blank",0,'Calc (Market Planning Case)'!E$92*'Calc (Market Planning Case)'!E$160+'Calc (Market Planning Case)'!E$107*'Calc (Market Planning Case)'!E$161+'Calc (Market Planning Case)'!E$122*'Calc (Market Planning Case)'!E$162+'Calc (Market Planning Case)'!E$137*'Calc (Market Planning Case)'!E$163+'Calc (Market Planning Case)'!E$152*'Calc (Market Planning Case)'!E$164)</f>
        <v>0</v>
      </c>
      <c r="F50" s="84">
        <f ca="1">IF(LEFT(A44,5)="blank",0,'Calc (Market Planning Case)'!F$92*'Calc (Market Planning Case)'!F$160+'Calc (Market Planning Case)'!F$107*'Calc (Market Planning Case)'!F$161+'Calc (Market Planning Case)'!F$122*'Calc (Market Planning Case)'!F$162+'Calc (Market Planning Case)'!F$137*'Calc (Market Planning Case)'!F$163+'Calc (Market Planning Case)'!F$152*'Calc (Market Planning Case)'!F$164)</f>
        <v>2.2400000000000002</v>
      </c>
      <c r="G50" s="84">
        <f ca="1">IF(LEFT(A44,5)="blank",0,'Calc (Market Planning Case)'!G$92*'Calc (Market Planning Case)'!G$160+'Calc (Market Planning Case)'!G$107*'Calc (Market Planning Case)'!G$161+'Calc (Market Planning Case)'!G$122*'Calc (Market Planning Case)'!G$162+'Calc (Market Planning Case)'!G$137*'Calc (Market Planning Case)'!G$163+'Calc (Market Planning Case)'!G$152*'Calc (Market Planning Case)'!G$164)</f>
        <v>2.5399227337683445</v>
      </c>
      <c r="H50" s="84">
        <f ca="1">IF(LEFT(A44,5)="blank",0,'Calc (Market Planning Case)'!H$92*'Calc (Market Planning Case)'!H$160+'Calc (Market Planning Case)'!H$107*'Calc (Market Planning Case)'!H$161+'Calc (Market Planning Case)'!H$122*'Calc (Market Planning Case)'!H$162+'Calc (Market Planning Case)'!H$137*'Calc (Market Planning Case)'!H$163+'Calc (Market Planning Case)'!H$152*'Calc (Market Planning Case)'!H$164)</f>
        <v>2.5217973641642359</v>
      </c>
    </row>
    <row r="51" spans="1:13" ht="17.25" thickBot="1" x14ac:dyDescent="0.35">
      <c r="A51" s="11" t="str">
        <f>A39</f>
        <v>Large Scale Renewable Energy Target</v>
      </c>
      <c r="B51"/>
      <c r="C51" t="s">
        <v>63</v>
      </c>
      <c r="D51"/>
      <c r="E51" s="84">
        <f ca="1">IF(LEFT(A44,5)="blank",0,'Calc (Market Planning Case)'!$E$93*'Calc (Market Planning Case)'!$E$160+'Calc (Market Planning Case)'!$E$108*'Calc (Market Planning Case)'!$E$161+'Calc (Market Planning Case)'!$E$123*'Calc (Market Planning Case)'!$E$162+'Calc (Market Planning Case)'!$E$138*'Calc (Market Planning Case)'!$E$163+'Calc (Market Planning Case)'!$E$153*'Calc (Market Planning Case)'!$E$164)</f>
        <v>0.44267417909205159</v>
      </c>
      <c r="F51" s="84">
        <f ca="1">IF(LEFT(A44,5)="blank",0,'Calc (Market Planning Case)'!$F$93*'Calc (Market Planning Case)'!$F$160+'Calc (Market Planning Case)'!$F$108*'Calc (Market Planning Case)'!$F$161+'Calc (Market Planning Case)'!$F$123*'Calc (Market Planning Case)'!$F$162+'Calc (Market Planning Case)'!$F$138*'Calc (Market Planning Case)'!$F$163+'Calc (Market Planning Case)'!$F$153*'Calc (Market Planning Case)'!$F$164)</f>
        <v>0.6628193665535661</v>
      </c>
      <c r="G51" s="84">
        <f ca="1">IF(LEFT(A44,5)="blank",0,'Calc (Market Planning Case)'!$G$93*'Calc (Market Planning Case)'!$G$160+'Calc (Market Planning Case)'!$G$108*'Calc (Market Planning Case)'!$G$161+'Calc (Market Planning Case)'!$G$123*'Calc (Market Planning Case)'!$G$162+'Calc (Market Planning Case)'!$G$138*'Calc (Market Planning Case)'!$G$163+'Calc (Market Planning Case)'!$G$153*'Calc (Market Planning Case)'!$G$164)</f>
        <v>0.71024842650382625</v>
      </c>
      <c r="H51" s="84">
        <f ca="1">IF(LEFT(A44,5)="blank",0,'Calc (Market Planning Case)'!$H$93*'Calc (Market Planning Case)'!$H$160+'Calc (Market Planning Case)'!$H$108*'Calc (Market Planning Case)'!$H$161+'Calc (Market Planning Case)'!$H$123*'Calc (Market Planning Case)'!$H$162+'Calc (Market Planning Case)'!$H$138*'Calc (Market Planning Case)'!$H$163+'Calc (Market Planning Case)'!$H$153*'Calc (Market Planning Case)'!$H$164)</f>
        <v>0.75212223266646072</v>
      </c>
    </row>
    <row r="52" spans="1:13" ht="17.25" thickBot="1" x14ac:dyDescent="0.35">
      <c r="A52" s="11" t="str">
        <f>A40</f>
        <v>Small Scale Renewable Energy Scheme</v>
      </c>
      <c r="B52"/>
      <c r="C52" t="s">
        <v>63</v>
      </c>
      <c r="D52"/>
      <c r="E52" s="84">
        <f ca="1">IF(LEFT(A44,5)="blank",0,'Calc (Market Planning Case)'!$E$94*'Calc (Market Planning Case)'!$E$160+'Calc (Market Planning Case)'!$E$109*'Calc (Market Planning Case)'!$E$161+'Calc (Market Planning Case)'!$E$124*'Calc (Market Planning Case)'!$E$162+'Calc (Market Planning Case)'!$E$139*'Calc (Market Planning Case)'!$E$163+'Calc (Market Planning Case)'!$E$154*'Calc (Market Planning Case)'!$E$164)</f>
        <v>0.5052261771356179</v>
      </c>
      <c r="F52" s="84">
        <f ca="1">IF(LEFT(A44,5)="blank",0,'Calc (Market Planning Case)'!$F$94*'Calc (Market Planning Case)'!$F$160+'Calc (Market Planning Case)'!$F$109*'Calc (Market Planning Case)'!$F$161+'Calc (Market Planning Case)'!$F$124*'Calc (Market Planning Case)'!$F$162+'Calc (Market Planning Case)'!$F$139*'Calc (Market Planning Case)'!$F$163+'Calc (Market Planning Case)'!$F$154*'Calc (Market Planning Case)'!$F$164)</f>
        <v>0.32896978292783663</v>
      </c>
      <c r="G52" s="84">
        <f ca="1">IF(LEFT(A44,5)="blank",0,'Calc (Market Planning Case)'!$G$94*'Calc (Market Planning Case)'!$G$160+'Calc (Market Planning Case)'!$G$109*'Calc (Market Planning Case)'!$G$161+'Calc (Market Planning Case)'!$G$124*'Calc (Market Planning Case)'!$G$162+'Calc (Market Planning Case)'!$G$139*'Calc (Market Planning Case)'!$G$163+'Calc (Market Planning Case)'!$G$154*'Calc (Market Planning Case)'!$G$164)</f>
        <v>0.14492245719868815</v>
      </c>
      <c r="H52" s="84">
        <f ca="1">IF(LEFT(A44,5)="blank",0,'Calc (Market Planning Case)'!$H$94*'Calc (Market Planning Case)'!$H$160+'Calc (Market Planning Case)'!$H$109*'Calc (Market Planning Case)'!$H$161+'Calc (Market Planning Case)'!$H$124*'Calc (Market Planning Case)'!$H$162+'Calc (Market Planning Case)'!$H$139*'Calc (Market Planning Case)'!$H$163+'Calc (Market Planning Case)'!$H$154*'Calc (Market Planning Case)'!$H$164)</f>
        <v>0.12603923759716631</v>
      </c>
    </row>
    <row r="53" spans="1:13" ht="17.25" thickBot="1" x14ac:dyDescent="0.35">
      <c r="A53" s="11" t="str">
        <f>A41</f>
        <v>Energy Saver Incentive</v>
      </c>
      <c r="B53"/>
      <c r="C53" t="s">
        <v>63</v>
      </c>
      <c r="D53"/>
      <c r="E53" s="84">
        <f ca="1">IF(LEFT(A44,5)="blank",0,'Calc (Market Planning Case)'!$E$95*'Calc (Market Planning Case)'!$E$160+'Calc (Market Planning Case)'!$E$110*'Calc (Market Planning Case)'!$E$161+'Calc (Market Planning Case)'!$E$125*'Calc (Market Planning Case)'!$E$162+'Calc (Market Planning Case)'!$E$140*'Calc (Market Planning Case)'!$E$163+'Calc (Market Planning Case)'!$E$155*'Calc (Market Planning Case)'!$E$164)</f>
        <v>0.39</v>
      </c>
      <c r="F53" s="84">
        <f ca="1">IF(LEFT(A44,5)="blank",0,'Calc (Market Planning Case)'!$F$95*'Calc (Market Planning Case)'!$F$160+'Calc (Market Planning Case)'!$F$110*'Calc (Market Planning Case)'!$F$161+'Calc (Market Planning Case)'!$F$125*'Calc (Market Planning Case)'!$F$162+'Calc (Market Planning Case)'!$F$140*'Calc (Market Planning Case)'!$F$163+'Calc (Market Planning Case)'!$F$155*'Calc (Market Planning Case)'!$F$164)</f>
        <v>0.38</v>
      </c>
      <c r="G53" s="84">
        <f ca="1">IF(LEFT(A44,5)="blank",0,'Calc (Market Planning Case)'!$G$95*'Calc (Market Planning Case)'!$G$160+'Calc (Market Planning Case)'!$G$110*'Calc (Market Planning Case)'!$G$161+'Calc (Market Planning Case)'!$G$125*'Calc (Market Planning Case)'!$G$162+'Calc (Market Planning Case)'!$G$140*'Calc (Market Planning Case)'!$G$163+'Calc (Market Planning Case)'!$G$155*'Calc (Market Planning Case)'!$G$164)</f>
        <v>0.38</v>
      </c>
      <c r="H53" s="84">
        <f ca="1">IF(LEFT(A44,5)="blank",0,'Calc (Market Planning Case)'!$H$95*'Calc (Market Planning Case)'!$H$160+'Calc (Market Planning Case)'!$H$110*'Calc (Market Planning Case)'!$H$161+'Calc (Market Planning Case)'!$H$125*'Calc (Market Planning Case)'!$H$162+'Calc (Market Planning Case)'!$H$140*'Calc (Market Planning Case)'!$H$163+'Calc (Market Planning Case)'!$H$155*'Calc (Market Planning Case)'!$H$164)</f>
        <v>0.38</v>
      </c>
    </row>
    <row r="54" spans="1:13" ht="17.25" thickBot="1" x14ac:dyDescent="0.35">
      <c r="A54" t="str">
        <f>A42</f>
        <v>Total</v>
      </c>
      <c r="B54"/>
      <c r="C54" t="s">
        <v>63</v>
      </c>
      <c r="D54"/>
      <c r="E54" s="84">
        <f ca="1">SUM(E45:E53)</f>
        <v>28.783715236120468</v>
      </c>
      <c r="F54" s="84">
        <f ca="1">SUM(F45:F53)</f>
        <v>31.823055647135043</v>
      </c>
      <c r="G54" s="84">
        <f ca="1">SUM(G45:G53)</f>
        <v>32.846139192465635</v>
      </c>
      <c r="H54" s="84">
        <f ca="1">SUM(H45:H53)</f>
        <v>35.221723723952699</v>
      </c>
      <c r="J54" s="29"/>
      <c r="K54" s="29"/>
      <c r="L54" s="29"/>
      <c r="M54" s="29"/>
    </row>
    <row r="55" spans="1:13" x14ac:dyDescent="0.3">
      <c r="A55"/>
      <c r="B55"/>
      <c r="C55"/>
      <c r="D55"/>
      <c r="E55" s="89"/>
      <c r="F55" s="89"/>
      <c r="G55" s="89"/>
      <c r="H55" s="89"/>
    </row>
    <row r="56" spans="1:13" ht="17.25" thickBot="1" x14ac:dyDescent="0.35">
      <c r="A56" s="91" t="str">
        <f ca="1">'Calc (Market Slow Rate)'!B2</f>
        <v>Calc (Market Slow Rate)</v>
      </c>
      <c r="B56"/>
      <c r="C56"/>
      <c r="D56"/>
      <c r="E56" s="89"/>
      <c r="F56" s="89"/>
      <c r="G56" s="89"/>
      <c r="H56" s="89"/>
    </row>
    <row r="57" spans="1:13" ht="17.25" thickBot="1" x14ac:dyDescent="0.35">
      <c r="A57" t="str">
        <f>A45</f>
        <v>Transmission</v>
      </c>
      <c r="B57"/>
      <c r="C57" t="s">
        <v>63</v>
      </c>
      <c r="D57"/>
      <c r="E57" s="84">
        <f ca="1">IF(LEFT(A56,5)="blank",0,'Calc (Market Slow Rate)'!$E$86*'Calc (Market Slow Rate)'!$E$160+'Calc (Market Slow Rate)'!$E$101*'Calc (Market Slow Rate)'!$E$161+'Calc (Market Slow Rate)'!$E$116*'Calc (Market Slow Rate)'!$E$162+'Calc (Market Slow Rate)'!$E$131*'Calc (Market Slow Rate)'!$E$163+'Calc (Market Slow Rate)'!$E$146*'Calc (Market Slow Rate)'!$E$164)</f>
        <v>1.2861569700547284</v>
      </c>
      <c r="F57" s="84">
        <f ca="1">IF(LEFT(A56,5)="blank",0,'Calc (Market Slow Rate)'!$F$86*'Calc (Market Slow Rate)'!$F$160+'Calc (Market Slow Rate)'!$F$101*'Calc (Market Slow Rate)'!$F$161+'Calc (Market Slow Rate)'!$F$116*'Calc (Market Slow Rate)'!$F$162+'Calc (Market Slow Rate)'!$F$131*'Calc (Market Slow Rate)'!$F$163+'Calc (Market Slow Rate)'!$F$146*'Calc (Market Slow Rate)'!$F$164)</f>
        <v>1.3144989314465234</v>
      </c>
      <c r="G57" s="84">
        <f ca="1">IF(LEFT(A56,5)="blank",0,'Calc (Market Slow Rate)'!$G$86*'Calc (Market Slow Rate)'!$G$160+'Calc (Market Slow Rate)'!$G$101*'Calc (Market Slow Rate)'!$G$161+'Calc (Market Slow Rate)'!$G$116*'Calc (Market Slow Rate)'!$G$162+'Calc (Market Slow Rate)'!$G$131*'Calc (Market Slow Rate)'!$G$163+'Calc (Market Slow Rate)'!$G$146*'Calc (Market Slow Rate)'!$G$164)</f>
        <v>1.3439906562609254</v>
      </c>
      <c r="H57" s="84">
        <f ca="1">IF(LEFT(A56,5)="blank",0,'Calc (Market Slow Rate)'!$H$86*'Calc (Market Slow Rate)'!$H$160+'Calc (Market Slow Rate)'!$H$101*'Calc (Market Slow Rate)'!$H$161+'Calc (Market Slow Rate)'!$H$116*'Calc (Market Slow Rate)'!$H$162+'Calc (Market Slow Rate)'!$H$131*'Calc (Market Slow Rate)'!$H$163+'Calc (Market Slow Rate)'!$H$146*'Calc (Market Slow Rate)'!$H$164)</f>
        <v>1.3735887469231676</v>
      </c>
    </row>
    <row r="58" spans="1:13" ht="17.25" thickBot="1" x14ac:dyDescent="0.35">
      <c r="A58" t="str">
        <f>A46</f>
        <v>Distribution</v>
      </c>
      <c r="B58"/>
      <c r="C58" t="s">
        <v>63</v>
      </c>
      <c r="D58"/>
      <c r="E58" s="84">
        <f ca="1">IF(LEFT(A56,5)="blank",0,'Calc (Market Slow Rate)'!$E$87*'Calc (Market Slow Rate)'!$E$160+'Calc (Market Slow Rate)'!$E$102*'Calc (Market Slow Rate)'!$E$161+'Calc (Market Slow Rate)'!$E$117*'Calc (Market Slow Rate)'!$E$162+'Calc (Market Slow Rate)'!$E$132*'Calc (Market Slow Rate)'!$E$163+'Calc (Market Slow Rate)'!$E$147*'Calc (Market Slow Rate)'!$E$164)</f>
        <v>8.5175546083712295</v>
      </c>
      <c r="F58" s="84">
        <f ca="1">IF(LEFT(A56,5)="blank",0,'Calc (Market Slow Rate)'!$F$87*'Calc (Market Slow Rate)'!$F$160+'Calc (Market Slow Rate)'!$F$102*'Calc (Market Slow Rate)'!$F$161+'Calc (Market Slow Rate)'!$F$117*'Calc (Market Slow Rate)'!$F$162+'Calc (Market Slow Rate)'!$F$132*'Calc (Market Slow Rate)'!$F$163+'Calc (Market Slow Rate)'!$F$147*'Calc (Market Slow Rate)'!$F$164)</f>
        <v>9.4644234309865283</v>
      </c>
      <c r="G58" s="84">
        <f ca="1">IF(LEFT(A56,5)="blank",0,'Calc (Market Slow Rate)'!$G$87*'Calc (Market Slow Rate)'!$G$160+'Calc (Market Slow Rate)'!$G$102*'Calc (Market Slow Rate)'!$G$161+'Calc (Market Slow Rate)'!$G$117*'Calc (Market Slow Rate)'!$G$162+'Calc (Market Slow Rate)'!$G$132*'Calc (Market Slow Rate)'!$G$163+'Calc (Market Slow Rate)'!$G$147*'Calc (Market Slow Rate)'!$G$164)</f>
        <v>10.625634083225936</v>
      </c>
      <c r="H58" s="84">
        <f ca="1">IF(LEFT(A56,5)="blank",0,'Calc (Market Slow Rate)'!$H$87*'Calc (Market Slow Rate)'!$H$160+'Calc (Market Slow Rate)'!$H$102*'Calc (Market Slow Rate)'!$H$161+'Calc (Market Slow Rate)'!$H$117*'Calc (Market Slow Rate)'!$H$162+'Calc (Market Slow Rate)'!$H$132*'Calc (Market Slow Rate)'!$H$163+'Calc (Market Slow Rate)'!$H$147*'Calc (Market Slow Rate)'!$H$164)</f>
        <v>11.84216302415671</v>
      </c>
    </row>
    <row r="59" spans="1:13" ht="17.25" thickBot="1" x14ac:dyDescent="0.35">
      <c r="A59" t="str">
        <f>A47</f>
        <v>Retail And Wholesale</v>
      </c>
      <c r="B59"/>
      <c r="C59" t="s">
        <v>63</v>
      </c>
      <c r="D59"/>
      <c r="E59" s="84">
        <f ca="1">IF(LEFT(A56,5)="blank",0,'Calc (Market Slow Rate)'!$E$89*'Calc (Market Slow Rate)'!$E$160+'Calc (Market Slow Rate)'!$E$104*'Calc (Market Slow Rate)'!$E$161+'Calc (Market Slow Rate)'!$E$119*'Calc (Market Slow Rate)'!$E$162+'Calc (Market Slow Rate)'!$E$134*'Calc (Market Slow Rate)'!$E$163+'Calc (Market Slow Rate)'!$E$149*'Calc (Market Slow Rate)'!$E$164)</f>
        <v>17.454570069970242</v>
      </c>
      <c r="F59" s="84">
        <f ca="1">IF(LEFT(A56,5)="blank",0,'Calc (Market Slow Rate)'!$F$89*'Calc (Market Slow Rate)'!$F$160+'Calc (Market Slow Rate)'!$F$104*'Calc (Market Slow Rate)'!$F$161+'Calc (Market Slow Rate)'!$F$119*'Calc (Market Slow Rate)'!$F$162+'Calc (Market Slow Rate)'!$F$134*'Calc (Market Slow Rate)'!$F$163+'Calc (Market Slow Rate)'!$F$149*'Calc (Market Slow Rate)'!$F$164)</f>
        <v>17.693707544549923</v>
      </c>
      <c r="G59" s="84">
        <f ca="1">IF(LEFT(A56,5)="blank",0,'Calc (Market Slow Rate)'!$G$89*'Calc (Market Slow Rate)'!$G$160+'Calc (Market Slow Rate)'!$G$104*'Calc (Market Slow Rate)'!$G$161+'Calc (Market Slow Rate)'!$G$119*'Calc (Market Slow Rate)'!$G$162+'Calc (Market Slow Rate)'!$G$134*'Calc (Market Slow Rate)'!$G$163+'Calc (Market Slow Rate)'!$G$149*'Calc (Market Slow Rate)'!$G$164)</f>
        <v>17.858333710313822</v>
      </c>
      <c r="H59" s="84">
        <f ca="1">IF(LEFT(A56,5)="blank",0,'Calc (Market Slow Rate)'!$H$89*'Calc (Market Slow Rate)'!$H$160+'Calc (Market Slow Rate)'!$H$104*'Calc (Market Slow Rate)'!$H$161+'Calc (Market Slow Rate)'!$H$119*'Calc (Market Slow Rate)'!$H$162+'Calc (Market Slow Rate)'!$H$134*'Calc (Market Slow Rate)'!$H$163+'Calc (Market Slow Rate)'!$H$149*'Calc (Market Slow Rate)'!$H$164)</f>
        <v>18.159999105838715</v>
      </c>
    </row>
    <row r="60" spans="1:13" ht="17.25" thickBot="1" x14ac:dyDescent="0.35">
      <c r="A60" t="str">
        <f>A48</f>
        <v>Green Schemes</v>
      </c>
      <c r="B60"/>
      <c r="C60"/>
      <c r="D60"/>
      <c r="E60" s="89"/>
      <c r="F60" s="90"/>
      <c r="G60" s="89"/>
      <c r="H60" s="89"/>
    </row>
    <row r="61" spans="1:13" ht="17.25" thickBot="1" x14ac:dyDescent="0.35">
      <c r="A61" s="11" t="str">
        <f>A49</f>
        <v>Feed-in Tariffs</v>
      </c>
      <c r="B61"/>
      <c r="C61" t="s">
        <v>63</v>
      </c>
      <c r="D61"/>
      <c r="E61" s="84">
        <f ca="1">IF(LEFT(A56,5)="blank",0,'Calc (Market Slow Rate)'!E$91*'Calc (Market Slow Rate)'!E$160+'Calc (Market Slow Rate)'!E$106*'Calc (Market Slow Rate)'!E$161+'Calc (Market Slow Rate)'!E$121*'Calc (Market Slow Rate)'!E$162+'Calc (Market Slow Rate)'!E$136*'Calc (Market Slow Rate)'!E$163+'Calc (Market Slow Rate)'!E$151*'Calc (Market Slow Rate)'!E$164)</f>
        <v>0.18753323149659687</v>
      </c>
      <c r="F61" s="84">
        <f ca="1">IF(LEFT(A56,5)="blank",0,'Calc (Market Slow Rate)'!F$91*'Calc (Market Slow Rate)'!F$160+'Calc (Market Slow Rate)'!F$106*'Calc (Market Slow Rate)'!F$161+'Calc (Market Slow Rate)'!F$121*'Calc (Market Slow Rate)'!F$162+'Calc (Market Slow Rate)'!F$136*'Calc (Market Slow Rate)'!F$163+'Calc (Market Slow Rate)'!F$151*'Calc (Market Slow Rate)'!F$164)</f>
        <v>0.19442578682915262</v>
      </c>
      <c r="G61" s="84">
        <f ca="1">IF(LEFT(A56,5)="blank",0,'Calc (Market Slow Rate)'!G$91*'Calc (Market Slow Rate)'!G$160+'Calc (Market Slow Rate)'!G$106*'Calc (Market Slow Rate)'!G$161+'Calc (Market Slow Rate)'!G$121*'Calc (Market Slow Rate)'!G$162+'Calc (Market Slow Rate)'!G$136*'Calc (Market Slow Rate)'!G$163+'Calc (Market Slow Rate)'!G$151*'Calc (Market Slow Rate)'!G$164)</f>
        <v>0.20188693662721782</v>
      </c>
      <c r="H61" s="84">
        <f ca="1">IF(LEFT(A56,5)="blank",0,'Calc (Market Slow Rate)'!H$91*'Calc (Market Slow Rate)'!H$160+'Calc (Market Slow Rate)'!H$106*'Calc (Market Slow Rate)'!H$161+'Calc (Market Slow Rate)'!H$121*'Calc (Market Slow Rate)'!H$162+'Calc (Market Slow Rate)'!H$136*'Calc (Market Slow Rate)'!H$163+'Calc (Market Slow Rate)'!H$151*'Calc (Market Slow Rate)'!H$164)</f>
        <v>0.2090727265141272</v>
      </c>
    </row>
    <row r="62" spans="1:13" ht="17.25" thickBot="1" x14ac:dyDescent="0.35">
      <c r="A62" s="11" t="str">
        <f>A50</f>
        <v>Carbon costs</v>
      </c>
      <c r="B62"/>
      <c r="C62" t="s">
        <v>63</v>
      </c>
      <c r="D62"/>
      <c r="E62" s="84">
        <f ca="1">IF(LEFT(A56,5)="blank",0,'Calc (Market Slow Rate)'!E$92*'Calc (Market Slow Rate)'!E$160+'Calc (Market Slow Rate)'!E$107*'Calc (Market Slow Rate)'!E$161+'Calc (Market Slow Rate)'!E$122*'Calc (Market Slow Rate)'!E$162+'Calc (Market Slow Rate)'!E$137*'Calc (Market Slow Rate)'!E$163+'Calc (Market Slow Rate)'!E$152*'Calc (Market Slow Rate)'!E$164)</f>
        <v>0</v>
      </c>
      <c r="F62" s="84">
        <f ca="1">IF(LEFT(A56,5)="blank",0,'Calc (Market Slow Rate)'!F$92*'Calc (Market Slow Rate)'!F$160+'Calc (Market Slow Rate)'!F$107*'Calc (Market Slow Rate)'!F$161+'Calc (Market Slow Rate)'!F$122*'Calc (Market Slow Rate)'!F$162+'Calc (Market Slow Rate)'!F$137*'Calc (Market Slow Rate)'!F$163+'Calc (Market Slow Rate)'!F$152*'Calc (Market Slow Rate)'!F$164)</f>
        <v>2.2400000000000002</v>
      </c>
      <c r="G62" s="84">
        <f ca="1">IF(LEFT(A56,5)="blank",0,'Calc (Market Slow Rate)'!G$92*'Calc (Market Slow Rate)'!G$160+'Calc (Market Slow Rate)'!G$107*'Calc (Market Slow Rate)'!G$161+'Calc (Market Slow Rate)'!G$122*'Calc (Market Slow Rate)'!G$162+'Calc (Market Slow Rate)'!G$137*'Calc (Market Slow Rate)'!G$163+'Calc (Market Slow Rate)'!G$152*'Calc (Market Slow Rate)'!G$164)</f>
        <v>2.6510730519858239</v>
      </c>
      <c r="H62" s="84">
        <f ca="1">IF(LEFT(A56,5)="blank",0,'Calc (Market Slow Rate)'!H$92*'Calc (Market Slow Rate)'!H$160+'Calc (Market Slow Rate)'!H$107*'Calc (Market Slow Rate)'!H$161+'Calc (Market Slow Rate)'!H$122*'Calc (Market Slow Rate)'!H$162+'Calc (Market Slow Rate)'!H$137*'Calc (Market Slow Rate)'!H$163+'Calc (Market Slow Rate)'!H$152*'Calc (Market Slow Rate)'!H$164)</f>
        <v>2.499613764918442</v>
      </c>
    </row>
    <row r="63" spans="1:13" ht="17.25" thickBot="1" x14ac:dyDescent="0.35">
      <c r="A63" s="11" t="str">
        <f>A51</f>
        <v>Large Scale Renewable Energy Target</v>
      </c>
      <c r="B63"/>
      <c r="C63" t="s">
        <v>63</v>
      </c>
      <c r="D63"/>
      <c r="E63" s="84">
        <f ca="1">IF(LEFT(A56,5)="blank",0,'Calc (Market Slow Rate)'!$E$93*'Calc (Market Slow Rate)'!$E$160+'Calc (Market Slow Rate)'!$E$108*'Calc (Market Slow Rate)'!$E$161+'Calc (Market Slow Rate)'!$E$123*'Calc (Market Slow Rate)'!$E$162+'Calc (Market Slow Rate)'!$E$138*'Calc (Market Slow Rate)'!$E$163+'Calc (Market Slow Rate)'!$E$153*'Calc (Market Slow Rate)'!$E$164)</f>
        <v>0.44267417909205159</v>
      </c>
      <c r="F63" s="84">
        <f ca="1">IF(LEFT(A56,5)="blank",0,'Calc (Market Slow Rate)'!$F$93*'Calc (Market Slow Rate)'!$F$160+'Calc (Market Slow Rate)'!$F$108*'Calc (Market Slow Rate)'!$F$161+'Calc (Market Slow Rate)'!$F$123*'Calc (Market Slow Rate)'!$F$162+'Calc (Market Slow Rate)'!$F$138*'Calc (Market Slow Rate)'!$F$163+'Calc (Market Slow Rate)'!$F$153*'Calc (Market Slow Rate)'!$F$164)</f>
        <v>0.6628193665535661</v>
      </c>
      <c r="G63" s="84">
        <f ca="1">IF(LEFT(A56,5)="blank",0,'Calc (Market Slow Rate)'!$G$93*'Calc (Market Slow Rate)'!$G$160+'Calc (Market Slow Rate)'!$G$108*'Calc (Market Slow Rate)'!$G$161+'Calc (Market Slow Rate)'!$G$123*'Calc (Market Slow Rate)'!$G$162+'Calc (Market Slow Rate)'!$G$138*'Calc (Market Slow Rate)'!$G$163+'Calc (Market Slow Rate)'!$G$153*'Calc (Market Slow Rate)'!$G$164)</f>
        <v>0.71417855829845645</v>
      </c>
      <c r="H63" s="84">
        <f ca="1">IF(LEFT(A56,5)="blank",0,'Calc (Market Slow Rate)'!$H$93*'Calc (Market Slow Rate)'!$H$160+'Calc (Market Slow Rate)'!$H$108*'Calc (Market Slow Rate)'!$H$161+'Calc (Market Slow Rate)'!$H$123*'Calc (Market Slow Rate)'!$H$162+'Calc (Market Slow Rate)'!$H$138*'Calc (Market Slow Rate)'!$H$163+'Calc (Market Slow Rate)'!$H$153*'Calc (Market Slow Rate)'!$H$164)</f>
        <v>0.75212214575245961</v>
      </c>
    </row>
    <row r="64" spans="1:13" ht="17.25" thickBot="1" x14ac:dyDescent="0.35">
      <c r="A64" s="11" t="str">
        <f>A52</f>
        <v>Small Scale Renewable Energy Scheme</v>
      </c>
      <c r="B64"/>
      <c r="C64" t="s">
        <v>63</v>
      </c>
      <c r="D64"/>
      <c r="E64" s="84">
        <f ca="1">IF(LEFT(A56,5)="blank",0,'Calc (Market Slow Rate)'!$E$94*'Calc (Market Slow Rate)'!$E$160+'Calc (Market Slow Rate)'!$E$109*'Calc (Market Slow Rate)'!$E$161+'Calc (Market Slow Rate)'!$E$124*'Calc (Market Slow Rate)'!$E$162+'Calc (Market Slow Rate)'!$E$139*'Calc (Market Slow Rate)'!$E$163+'Calc (Market Slow Rate)'!$E$154*'Calc (Market Slow Rate)'!$E$164)</f>
        <v>0.5052261771356179</v>
      </c>
      <c r="F64" s="84">
        <f ca="1">IF(LEFT(A56,5)="blank",0,'Calc (Market Slow Rate)'!$F$94*'Calc (Market Slow Rate)'!$F$160+'Calc (Market Slow Rate)'!$F$109*'Calc (Market Slow Rate)'!$F$161+'Calc (Market Slow Rate)'!$F$124*'Calc (Market Slow Rate)'!$F$162+'Calc (Market Slow Rate)'!$F$139*'Calc (Market Slow Rate)'!$F$163+'Calc (Market Slow Rate)'!$F$154*'Calc (Market Slow Rate)'!$F$164)</f>
        <v>0.32896978292783663</v>
      </c>
      <c r="G64" s="84">
        <f ca="1">IF(LEFT(A56,5)="blank",0,'Calc (Market Slow Rate)'!$G$94*'Calc (Market Slow Rate)'!$G$160+'Calc (Market Slow Rate)'!$G$109*'Calc (Market Slow Rate)'!$G$161+'Calc (Market Slow Rate)'!$G$124*'Calc (Market Slow Rate)'!$G$162+'Calc (Market Slow Rate)'!$G$139*'Calc (Market Slow Rate)'!$G$163+'Calc (Market Slow Rate)'!$G$154*'Calc (Market Slow Rate)'!$G$164)</f>
        <v>0.14492245719868815</v>
      </c>
      <c r="H64" s="84">
        <f ca="1">IF(LEFT(A56,5)="blank",0,'Calc (Market Slow Rate)'!$H$94*'Calc (Market Slow Rate)'!$H$160+'Calc (Market Slow Rate)'!$H$109*'Calc (Market Slow Rate)'!$H$161+'Calc (Market Slow Rate)'!$H$124*'Calc (Market Slow Rate)'!$H$162+'Calc (Market Slow Rate)'!$H$139*'Calc (Market Slow Rate)'!$H$163+'Calc (Market Slow Rate)'!$H$154*'Calc (Market Slow Rate)'!$H$164)</f>
        <v>0.12603923759716631</v>
      </c>
    </row>
    <row r="65" spans="1:13" ht="17.25" thickBot="1" x14ac:dyDescent="0.35">
      <c r="A65" s="11" t="str">
        <f>A53</f>
        <v>Energy Saver Incentive</v>
      </c>
      <c r="B65"/>
      <c r="C65" t="s">
        <v>63</v>
      </c>
      <c r="D65"/>
      <c r="E65" s="84">
        <f ca="1">IF(LEFT(A56,5)="blank",0,'Calc (Market Slow Rate)'!$E$95*'Calc (Market Slow Rate)'!$E$160+'Calc (Market Slow Rate)'!$E$110*'Calc (Market Slow Rate)'!$E$161+'Calc (Market Slow Rate)'!$E$125*'Calc (Market Slow Rate)'!$E$162+'Calc (Market Slow Rate)'!$E$140*'Calc (Market Slow Rate)'!$E$163+'Calc (Market Slow Rate)'!$E$155*'Calc (Market Slow Rate)'!$E$164)</f>
        <v>0.39</v>
      </c>
      <c r="F65" s="84">
        <f ca="1">IF(LEFT(A56,5)="blank",0,'Calc (Market Slow Rate)'!$F$95*'Calc (Market Slow Rate)'!$F$160+'Calc (Market Slow Rate)'!$F$110*'Calc (Market Slow Rate)'!$F$161+'Calc (Market Slow Rate)'!$F$125*'Calc (Market Slow Rate)'!$F$162+'Calc (Market Slow Rate)'!$F$140*'Calc (Market Slow Rate)'!$F$163+'Calc (Market Slow Rate)'!$F$155*'Calc (Market Slow Rate)'!$F$164)</f>
        <v>0.38</v>
      </c>
      <c r="G65" s="84">
        <f ca="1">IF(LEFT(A56,5)="blank",0,'Calc (Market Slow Rate)'!$G$95*'Calc (Market Slow Rate)'!$G$160+'Calc (Market Slow Rate)'!$G$110*'Calc (Market Slow Rate)'!$G$161+'Calc (Market Slow Rate)'!$G$125*'Calc (Market Slow Rate)'!$G$162+'Calc (Market Slow Rate)'!$G$140*'Calc (Market Slow Rate)'!$G$163+'Calc (Market Slow Rate)'!$G$155*'Calc (Market Slow Rate)'!$G$164)</f>
        <v>0.38</v>
      </c>
      <c r="H65" s="84">
        <f ca="1">IF(LEFT(A56,5)="blank",0,'Calc (Market Slow Rate)'!$H$95*'Calc (Market Slow Rate)'!$H$160+'Calc (Market Slow Rate)'!$H$110*'Calc (Market Slow Rate)'!$H$161+'Calc (Market Slow Rate)'!$H$125*'Calc (Market Slow Rate)'!$H$162+'Calc (Market Slow Rate)'!$H$140*'Calc (Market Slow Rate)'!$H$163+'Calc (Market Slow Rate)'!$H$155*'Calc (Market Slow Rate)'!$H$164)</f>
        <v>0.38</v>
      </c>
    </row>
    <row r="66" spans="1:13" ht="17.25" thickBot="1" x14ac:dyDescent="0.35">
      <c r="A66" t="str">
        <f>A54</f>
        <v>Total</v>
      </c>
      <c r="B66"/>
      <c r="C66" t="s">
        <v>63</v>
      </c>
      <c r="D66"/>
      <c r="E66" s="84">
        <f ca="1">SUM(E57:E65)</f>
        <v>28.783715236120468</v>
      </c>
      <c r="F66" s="84">
        <f ca="1">SUM(F57:F65)</f>
        <v>32.278844843293527</v>
      </c>
      <c r="G66" s="84">
        <f ca="1">SUM(G57:G65)</f>
        <v>33.920019453910875</v>
      </c>
      <c r="H66" s="84">
        <f ca="1">SUM(H57:H65)</f>
        <v>35.342598751700791</v>
      </c>
      <c r="J66" s="29"/>
      <c r="K66" s="29"/>
      <c r="L66" s="29"/>
      <c r="M66" s="29"/>
    </row>
    <row r="69" spans="1:13" ht="17.25" thickBot="1" x14ac:dyDescent="0.35"/>
    <row r="70" spans="1:13" ht="17.25" thickBot="1" x14ac:dyDescent="0.35">
      <c r="A70" s="33" t="str">
        <f ca="1">IFERROR(RIGHT(LEFT(A8,LEN(A8)-1),LEN(LEFT(A8,LEN(A8)-1))-FIND("(",LEFT(A8,LEN(A8)-1))),"blank")</f>
        <v>Jurisdiction</v>
      </c>
      <c r="E70" s="84">
        <f ca="1">IF(LEFT($A70,5)="blank",0,E18)</f>
        <v>28.783715236120468</v>
      </c>
      <c r="F70" s="84">
        <f ca="1">IF(LEFT($A70,5)="blank",0,F18)</f>
        <v>31.823055647135043</v>
      </c>
      <c r="G70" s="84">
        <f ca="1">IF(LEFT($A70,5)="blank",0,G18)</f>
        <v>32.908104878421192</v>
      </c>
      <c r="H70" s="84">
        <f ca="1">IF(LEFT($A70,5)="blank",0,H18)</f>
        <v>35.227414994686029</v>
      </c>
    </row>
    <row r="71" spans="1:13" ht="17.25" thickBot="1" x14ac:dyDescent="0.35">
      <c r="A71" s="33" t="str">
        <f ca="1">IFERROR(RIGHT(LEFT(A20,LEN(A20)-1),LEN(LEFT(A20,LEN(A20)-1))-FIND("(",LEFT(A20,LEN(A20)-1))),"blank")</f>
        <v>LRMC Planning case</v>
      </c>
      <c r="E71" s="84">
        <f ca="1">IF(LEFT($A71,5)="blank",0,E30)</f>
        <v>28.783715236120468</v>
      </c>
      <c r="F71" s="84">
        <f ca="1">IF(LEFT($A71,5)="blank",0,F30)</f>
        <v>31.823055647135043</v>
      </c>
      <c r="G71" s="84">
        <f ca="1">IF(LEFT($A71,5)="blank",0,G30)</f>
        <v>33.84975998093968</v>
      </c>
      <c r="H71" s="84">
        <f ca="1">IF(LEFT($A71,5)="blank",0,H30)</f>
        <v>36.023762078612805</v>
      </c>
    </row>
    <row r="72" spans="1:13" ht="17.25" thickBot="1" x14ac:dyDescent="0.35">
      <c r="A72" s="33" t="str">
        <f ca="1">IFERROR(RIGHT(LEFT(A32,LEN(A32)-1),LEN(LEFT(A32,LEN(A32)-1))-FIND("(",LEFT(A32,LEN(A32)-1))),"blank")</f>
        <v>LRMC Slow Rate</v>
      </c>
      <c r="E72" s="84">
        <f ca="1">IF(LEFT($A72,5)="blank",0,E42)</f>
        <v>28.783715236120468</v>
      </c>
      <c r="F72" s="84">
        <f ca="1">IF(LEFT($A72,5)="blank",0,F42)</f>
        <v>31.823055647135043</v>
      </c>
      <c r="G72" s="84">
        <f ca="1">IF(LEFT($A72,5)="blank",0,G42)</f>
        <v>33.986420040795686</v>
      </c>
      <c r="H72" s="84">
        <f ca="1">IF(LEFT($A72,5)="blank",0,H42)</f>
        <v>36.186446091859267</v>
      </c>
    </row>
    <row r="73" spans="1:13" ht="17.25" thickBot="1" x14ac:dyDescent="0.35">
      <c r="A73" s="33" t="str">
        <f ca="1">IFERROR(RIGHT(LEFT(A44,LEN(A44)-1),LEN(LEFT(A44,LEN(A44)-1))-FIND("(",LEFT(A44,LEN(A44)-1))),"blank")</f>
        <v>Market Planning Case</v>
      </c>
      <c r="E73" s="84">
        <f ca="1">IF(LEFT($A73,5)="blank",0,E54)</f>
        <v>28.783715236120468</v>
      </c>
      <c r="F73" s="84">
        <f ca="1">IF(LEFT($A73,5)="blank",0,F54)</f>
        <v>31.823055647135043</v>
      </c>
      <c r="G73" s="84">
        <f ca="1">IF(LEFT($A73,5)="blank",0,G54)</f>
        <v>32.846139192465635</v>
      </c>
      <c r="H73" s="84">
        <f ca="1">IF(LEFT($A73,5)="blank",0,H54)</f>
        <v>35.221723723952699</v>
      </c>
    </row>
    <row r="74" spans="1:13" ht="17.25" thickBot="1" x14ac:dyDescent="0.35">
      <c r="A74" s="33" t="str">
        <f ca="1">IFERROR(RIGHT(LEFT(A56,LEN(A56)-1),LEN(LEFT(A56,LEN(A56)-1))-FIND("(",LEFT(A56,LEN(A56)-1))),"blank")</f>
        <v>Market Slow Rate</v>
      </c>
      <c r="E74" s="84">
        <f ca="1">IF(LEFT($A74,5)="blank",0,E66)</f>
        <v>28.783715236120468</v>
      </c>
      <c r="F74" s="84">
        <f t="shared" ref="F74:H74" ca="1" si="0">IF(LEFT($A74,5)="blank",0,F66)</f>
        <v>32.278844843293527</v>
      </c>
      <c r="G74" s="84">
        <f t="shared" ca="1" si="0"/>
        <v>33.920019453910875</v>
      </c>
      <c r="H74" s="84">
        <f t="shared" ca="1" si="0"/>
        <v>35.342598751700791</v>
      </c>
    </row>
    <row r="75" spans="1:13" x14ac:dyDescent="0.3">
      <c r="A75" s="33"/>
    </row>
    <row r="76" spans="1:13" ht="17.25" thickBot="1" x14ac:dyDescent="0.35">
      <c r="A76" s="21" t="str">
        <f ca="1">A8</f>
        <v>Calc (Jurisdiction)</v>
      </c>
      <c r="E76" s="102"/>
      <c r="F76" s="102"/>
      <c r="G76" s="102"/>
      <c r="H76" s="102"/>
    </row>
    <row r="77" spans="1:13" ht="17.25" thickBot="1" x14ac:dyDescent="0.35">
      <c r="A77" s="17" t="s">
        <v>39</v>
      </c>
      <c r="E77" s="84">
        <f ca="1">IF(LEFT($A76,5)="blank",0,E9)</f>
        <v>1.2861569700547284</v>
      </c>
      <c r="F77" s="84">
        <f ca="1">IF(LEFT($A76,5)="blank",0,F9)</f>
        <v>1.3144989314465234</v>
      </c>
      <c r="G77" s="84">
        <f ca="1">IF(LEFT($A76,5)="blank",0,G9)</f>
        <v>1.3439906562609254</v>
      </c>
      <c r="H77" s="84">
        <f ca="1">IF(LEFT($A76,5)="blank",0,H9)</f>
        <v>1.3735887469231676</v>
      </c>
    </row>
    <row r="78" spans="1:13" ht="17.25" thickBot="1" x14ac:dyDescent="0.35">
      <c r="A78" s="17" t="s">
        <v>38</v>
      </c>
      <c r="E78" s="84">
        <f ca="1">IF(LEFT($A76,5)="blank",0,IF('Input Global'!$B$61="No",E10+E13+E17,E10+E13))</f>
        <v>8.7050878398678257</v>
      </c>
      <c r="F78" s="84">
        <f ca="1">IF(LEFT($A76,5)="blank",0,IF('Input Global'!$B$61="No",F10+F13+F17,F10+F13))</f>
        <v>9.6588492178156802</v>
      </c>
      <c r="G78" s="84">
        <f ca="1">IF(LEFT($A76,5)="blank",0,IF('Input Global'!$B$61="No",G10+G13+G17,G10+G13))</f>
        <v>10.827521019853155</v>
      </c>
      <c r="H78" s="84">
        <f ca="1">IF(LEFT($A76,5)="blank",0,IF('Input Global'!$B$61="No",H10+H13+H17,H10+H13))</f>
        <v>12.051235750670838</v>
      </c>
    </row>
    <row r="79" spans="1:13" ht="17.25" thickBot="1" x14ac:dyDescent="0.35">
      <c r="A79" s="17" t="s">
        <v>156</v>
      </c>
      <c r="E79" s="84">
        <f ca="1">IF(LEFT($A76,5)="blank",0,IF('Input Global'!$B$61="No",+E11+E15+E16,+E11+E14+E15+E16+E17))</f>
        <v>18.792470426197912</v>
      </c>
      <c r="F79" s="84">
        <f ca="1">IF(LEFT($A76,5)="blank",0,IF('Input Global'!$B$61="No",+F11+F15+F16,+F11+F14+F15+F16+F17))</f>
        <v>20.849707497872842</v>
      </c>
      <c r="G79" s="84">
        <f ca="1">IF(LEFT($A76,5)="blank",0,IF('Input Global'!$B$61="No",+G11+G15+G16,+G11+G14+G15+G16+G17))</f>
        <v>20.736593202307112</v>
      </c>
      <c r="H79" s="84">
        <f ca="1">IF(LEFT($A76,5)="blank",0,IF('Input Global'!$B$61="No",+H11+H15+H16,+H11+H14+H15+H16+H17))</f>
        <v>21.802590497092019</v>
      </c>
    </row>
    <row r="80" spans="1:13" ht="17.25" thickBot="1" x14ac:dyDescent="0.35">
      <c r="A80" s="20" t="s">
        <v>53</v>
      </c>
      <c r="B80" s="20"/>
      <c r="C80" s="20"/>
      <c r="D80" s="20"/>
      <c r="E80" s="84">
        <f ca="1">SUM(E77:E79)</f>
        <v>28.783715236120464</v>
      </c>
      <c r="F80" s="84">
        <f ca="1">SUM(F77:F79)</f>
        <v>31.823055647135046</v>
      </c>
      <c r="G80" s="84">
        <f ca="1">SUM(G77:G79)</f>
        <v>32.908104878421192</v>
      </c>
      <c r="H80" s="84">
        <f ca="1">SUM(H77:H79)</f>
        <v>35.227414994686029</v>
      </c>
    </row>
    <row r="81" spans="1:8" x14ac:dyDescent="0.3">
      <c r="A81" s="34" t="s">
        <v>90</v>
      </c>
      <c r="E81" s="34" t="b">
        <f ca="1">E18=E80</f>
        <v>1</v>
      </c>
      <c r="F81" s="34" t="b">
        <f ca="1">F18=F80</f>
        <v>1</v>
      </c>
      <c r="G81" s="34" t="b">
        <f ca="1">G18=G80</f>
        <v>1</v>
      </c>
      <c r="H81" s="34" t="b">
        <f ca="1">H18=H80</f>
        <v>1</v>
      </c>
    </row>
    <row r="83" spans="1:8" ht="17.25" thickBot="1" x14ac:dyDescent="0.35">
      <c r="A83" s="21" t="str">
        <f ca="1">A20</f>
        <v>Calc (LRMC Planning case)</v>
      </c>
    </row>
    <row r="84" spans="1:8" ht="17.25" thickBot="1" x14ac:dyDescent="0.35">
      <c r="A84" s="17" t="str">
        <f>A77</f>
        <v>Transmission</v>
      </c>
      <c r="E84" s="84">
        <f ca="1">IF(LEFT($A83,5)="blank",0,E21)</f>
        <v>1.2861569700547284</v>
      </c>
      <c r="F84" s="84">
        <f ca="1">IF(LEFT($A83,5)="blank",0,F21)</f>
        <v>1.3144989314465234</v>
      </c>
      <c r="G84" s="84">
        <f ca="1">IF(LEFT($A83,5)="blank",0,G21)</f>
        <v>1.3439906562609254</v>
      </c>
      <c r="H84" s="84">
        <f ca="1">IF(LEFT($A83,5)="blank",0,H21)</f>
        <v>1.3735887469231676</v>
      </c>
    </row>
    <row r="85" spans="1:8" ht="17.25" thickBot="1" x14ac:dyDescent="0.35">
      <c r="A85" s="17" t="str">
        <f>A78</f>
        <v>Distribution</v>
      </c>
      <c r="E85" s="84">
        <f ca="1">IF(LEFT($A83,5)="blank",0,IF('Input Global'!$B$61="No",E22+E25+E29,E22+E25))</f>
        <v>8.7050878398678257</v>
      </c>
      <c r="F85" s="84">
        <f ca="1">IF(LEFT($A83,5)="blank",0,IF('Input Global'!$B$61="No",F22+F25+F29,F22+F25))</f>
        <v>9.6588492178156802</v>
      </c>
      <c r="G85" s="84">
        <f ca="1">IF(LEFT($A83,5)="blank",0,IF('Input Global'!$B$61="No",G22+G25+G29,G22+G25))</f>
        <v>10.827521019853155</v>
      </c>
      <c r="H85" s="84">
        <f ca="1">IF(LEFT($A83,5)="blank",0,IF('Input Global'!$B$61="No",H22+H25+H29,H22+H25))</f>
        <v>12.051235750670838</v>
      </c>
    </row>
    <row r="86" spans="1:8" ht="17.25" thickBot="1" x14ac:dyDescent="0.35">
      <c r="A86" s="17" t="str">
        <f>A79</f>
        <v>Retail and Wholesale</v>
      </c>
      <c r="E86" s="84">
        <f ca="1">IF(LEFT($A83,5)="blank",0,IF('Input Global'!$B$61="No",+E23+E26+E27+E28,+E23+E26+E27+E28+E29))</f>
        <v>18.792470426197912</v>
      </c>
      <c r="F86" s="84">
        <f ca="1">IF(LEFT($A83,5)="blank",0,IF('Input Global'!$B$61="No",+F23+F26+F27+F28,+F23+F26+F27+F28+F29))</f>
        <v>20.849707497872842</v>
      </c>
      <c r="G86" s="84">
        <f ca="1">IF(LEFT($A83,5)="blank",0,IF('Input Global'!$B$61="No",+G23+G26+G27+G28,+G23+G26+G27+G28+G29))</f>
        <v>21.678248304825605</v>
      </c>
      <c r="H86" s="84">
        <f ca="1">IF(LEFT($A83,5)="blank",0,IF('Input Global'!$B$61="No",+H23+H26+H27+H28,+H23+H26+H27+H28+H29))</f>
        <v>22.598937581018792</v>
      </c>
    </row>
    <row r="87" spans="1:8" ht="17.25" thickBot="1" x14ac:dyDescent="0.35">
      <c r="A87" s="20" t="s">
        <v>53</v>
      </c>
      <c r="B87" s="20"/>
      <c r="C87" s="20"/>
      <c r="D87" s="20"/>
      <c r="E87" s="84">
        <f ca="1">SUM(E84:E86)</f>
        <v>28.783715236120464</v>
      </c>
      <c r="F87" s="84">
        <f ca="1">SUM(F84:F86)</f>
        <v>31.823055647135046</v>
      </c>
      <c r="G87" s="84">
        <f ca="1">SUM(G84:G86)</f>
        <v>33.84975998093968</v>
      </c>
      <c r="H87" s="84">
        <f ca="1">SUM(H84:H86)</f>
        <v>36.023762078612798</v>
      </c>
    </row>
    <row r="88" spans="1:8" x14ac:dyDescent="0.3">
      <c r="A88" s="34" t="s">
        <v>90</v>
      </c>
      <c r="E88" s="34" t="b">
        <f ca="1">E30=E87</f>
        <v>1</v>
      </c>
      <c r="F88" s="34" t="b">
        <f ca="1">F30=F87</f>
        <v>1</v>
      </c>
      <c r="G88" s="34" t="b">
        <f ca="1">G30=G87</f>
        <v>1</v>
      </c>
      <c r="H88" s="34" t="b">
        <f ca="1">H30=H87</f>
        <v>1</v>
      </c>
    </row>
    <row r="90" spans="1:8" ht="17.25" thickBot="1" x14ac:dyDescent="0.35">
      <c r="A90" s="21" t="str">
        <f ca="1">A32</f>
        <v>Calc (LRMC Slow Rate)</v>
      </c>
    </row>
    <row r="91" spans="1:8" ht="17.25" thickBot="1" x14ac:dyDescent="0.35">
      <c r="A91" s="17" t="str">
        <f>A84</f>
        <v>Transmission</v>
      </c>
      <c r="E91" s="84">
        <f ca="1">IF(LEFT($A90,5)="blank",0,E33)</f>
        <v>1.2861569700547284</v>
      </c>
      <c r="F91" s="84">
        <f ca="1">IF(LEFT($A90,5)="blank",0,F33)</f>
        <v>1.3144989314465234</v>
      </c>
      <c r="G91" s="84">
        <f ca="1">IF(LEFT($A90,5)="blank",0,G33)</f>
        <v>1.3439906562609254</v>
      </c>
      <c r="H91" s="84">
        <f ca="1">IF(LEFT($A90,5)="blank",0,H33)</f>
        <v>1.3735887469231676</v>
      </c>
    </row>
    <row r="92" spans="1:8" ht="17.25" thickBot="1" x14ac:dyDescent="0.35">
      <c r="A92" s="17" t="str">
        <f>A85</f>
        <v>Distribution</v>
      </c>
      <c r="E92" s="84">
        <f ca="1">IF(LEFT($A90,5)="blank",0,IF('Input Global'!$B$61="No",E34+E37+E41,E34+E37))</f>
        <v>8.7050878398678257</v>
      </c>
      <c r="F92" s="84">
        <f ca="1">IF(LEFT($A90,5)="blank",0,IF('Input Global'!$B$61="No",F34+F37+F41,F34+F37))</f>
        <v>9.6588492178156802</v>
      </c>
      <c r="G92" s="84">
        <f ca="1">IF(LEFT($A90,5)="blank",0,IF('Input Global'!$B$61="No",G34+G37+G41,G34+G37))</f>
        <v>10.827521019853155</v>
      </c>
      <c r="H92" s="84">
        <f ca="1">IF(LEFT($A90,5)="blank",0,IF('Input Global'!$B$61="No",H34+H37+H41,H34+H37))</f>
        <v>12.051235750670838</v>
      </c>
    </row>
    <row r="93" spans="1:8" ht="17.25" thickBot="1" x14ac:dyDescent="0.35">
      <c r="A93" s="17" t="str">
        <f>A86</f>
        <v>Retail and Wholesale</v>
      </c>
      <c r="E93" s="84">
        <f ca="1">IF(LEFT($A90,5)="blank",0,IF('Input Global'!$B$61="No",+E35+E39+E40,+E35+E38+E39+E40+E41))</f>
        <v>18.792470426197912</v>
      </c>
      <c r="F93" s="84">
        <f ca="1">IF(LEFT($A90,5)="blank",0,IF('Input Global'!$B$61="No",+F35+F39+F40,+F35+F38+F39+F40+F41))</f>
        <v>20.849707497872842</v>
      </c>
      <c r="G93" s="84">
        <f ca="1">IF(LEFT($A90,5)="blank",0,IF('Input Global'!$B$61="No",+G35+G39+G40,+G35+G38+G39+G40+G41))</f>
        <v>21.814908364681603</v>
      </c>
      <c r="H93" s="84">
        <f ca="1">IF(LEFT($A90,5)="blank",0,IF('Input Global'!$B$61="No",+H35+H39+H40,+H35+H38+H39+H40+H41))</f>
        <v>22.76162159426525</v>
      </c>
    </row>
    <row r="94" spans="1:8" ht="17.25" thickBot="1" x14ac:dyDescent="0.35">
      <c r="A94" s="20" t="s">
        <v>53</v>
      </c>
      <c r="B94" s="20"/>
      <c r="C94" s="20"/>
      <c r="D94" s="20"/>
      <c r="E94" s="84">
        <f ca="1">SUM(E91:E93)</f>
        <v>28.783715236120464</v>
      </c>
      <c r="F94" s="84">
        <f ca="1">SUM(F91:F93)</f>
        <v>31.823055647135046</v>
      </c>
      <c r="G94" s="84">
        <f ca="1">SUM(G91:G93)</f>
        <v>33.986420040795679</v>
      </c>
      <c r="H94" s="84">
        <f ca="1">SUM(H91:H93)</f>
        <v>36.186446091859253</v>
      </c>
    </row>
    <row r="95" spans="1:8" x14ac:dyDescent="0.3">
      <c r="A95" s="34" t="s">
        <v>90</v>
      </c>
      <c r="E95" s="34" t="b">
        <f ca="1">E42=E94</f>
        <v>1</v>
      </c>
      <c r="F95" s="34" t="b">
        <f ca="1">F42=F94</f>
        <v>1</v>
      </c>
      <c r="G95" s="34" t="b">
        <f ca="1">G42=G94</f>
        <v>1</v>
      </c>
      <c r="H95" s="34" t="b">
        <f ca="1">H42=H94</f>
        <v>1</v>
      </c>
    </row>
    <row r="97" spans="1:8" ht="17.25" thickBot="1" x14ac:dyDescent="0.35">
      <c r="A97" s="21" t="str">
        <f ca="1">A44</f>
        <v>Calc (Market Planning Case)</v>
      </c>
    </row>
    <row r="98" spans="1:8" ht="17.25" thickBot="1" x14ac:dyDescent="0.35">
      <c r="A98" s="17" t="str">
        <f>A91</f>
        <v>Transmission</v>
      </c>
      <c r="E98" s="84">
        <f ca="1">IF(LEFT($A97,5)="blank",0,E45)</f>
        <v>1.2861569700547284</v>
      </c>
      <c r="F98" s="84">
        <f ca="1">IF(LEFT($A97,5)="blank",0,F45)</f>
        <v>1.3144989314465234</v>
      </c>
      <c r="G98" s="84">
        <f ca="1">IF(LEFT($A97,5)="blank",0,G45)</f>
        <v>1.3439906562609254</v>
      </c>
      <c r="H98" s="84">
        <f ca="1">IF(LEFT($A97,5)="blank",0,H45)</f>
        <v>1.3735887469231676</v>
      </c>
    </row>
    <row r="99" spans="1:8" ht="17.25" thickBot="1" x14ac:dyDescent="0.35">
      <c r="A99" s="17" t="str">
        <f>A92</f>
        <v>Distribution</v>
      </c>
      <c r="E99" s="84">
        <f ca="1">IF(LEFT($A97,5)="blank",0,IF('Input Global'!$B$61="No",E46+E49+E53,E46+E49))</f>
        <v>8.7050878398678257</v>
      </c>
      <c r="F99" s="84">
        <f ca="1">IF(LEFT($A97,5)="blank",0,IF('Input Global'!$B$61="No",F46+F49+F53,F46+F49))</f>
        <v>9.6588492178156802</v>
      </c>
      <c r="G99" s="84">
        <f ca="1">IF(LEFT($A97,5)="blank",0,IF('Input Global'!$B$61="No",G46+G49+G53,G46+G49))</f>
        <v>10.827521019853155</v>
      </c>
      <c r="H99" s="84">
        <f ca="1">IF(LEFT($A97,5)="blank",0,IF('Input Global'!$B$61="No",H46+H49+H53,H46+H49))</f>
        <v>12.051235750670838</v>
      </c>
    </row>
    <row r="100" spans="1:8" ht="17.25" thickBot="1" x14ac:dyDescent="0.35">
      <c r="A100" s="17" t="str">
        <f>A93</f>
        <v>Retail and Wholesale</v>
      </c>
      <c r="E100" s="84">
        <f ca="1">IF(LEFT($A97,5)="blank",0,IF('Input Global'!$B$61="No",+E47+E50+E51+E52,+E47+E50+E51+E52+E53))</f>
        <v>18.792470426197912</v>
      </c>
      <c r="F100" s="84">
        <f ca="1">IF(LEFT($A97,5)="blank",0,IF('Input Global'!$B$61="No",+F47+F50+F51+F52,+F47+F50+F51+F52+F53))</f>
        <v>20.849707497872842</v>
      </c>
      <c r="G100" s="84">
        <f ca="1">IF(LEFT($A97,5)="blank",0,IF('Input Global'!$B$61="No",+G47+G50+G51+G52,+G47+G50+G51+G52+G53))</f>
        <v>20.674627516351556</v>
      </c>
      <c r="H100" s="84">
        <f ca="1">IF(LEFT($A97,5)="blank",0,IF('Input Global'!$B$61="No",+H47+H50+H51+H52,+H47+H50+H51+H52+H53))</f>
        <v>21.796899226358693</v>
      </c>
    </row>
    <row r="101" spans="1:8" ht="17.25" thickBot="1" x14ac:dyDescent="0.35">
      <c r="A101" s="20" t="s">
        <v>53</v>
      </c>
      <c r="B101" s="20"/>
      <c r="C101" s="20"/>
      <c r="D101" s="20"/>
      <c r="E101" s="84">
        <f ca="1">SUM(E98:E100)</f>
        <v>28.783715236120464</v>
      </c>
      <c r="F101" s="84">
        <f ca="1">SUM(F98:F100)</f>
        <v>31.823055647135046</v>
      </c>
      <c r="G101" s="84">
        <f ca="1">SUM(G98:G100)</f>
        <v>32.846139192465635</v>
      </c>
      <c r="H101" s="84">
        <f ca="1">SUM(H98:H100)</f>
        <v>35.221723723952699</v>
      </c>
    </row>
    <row r="102" spans="1:8" x14ac:dyDescent="0.3">
      <c r="A102" s="34" t="s">
        <v>90</v>
      </c>
      <c r="E102" s="34" t="b">
        <f ca="1">E54=E101</f>
        <v>1</v>
      </c>
      <c r="F102" s="34" t="b">
        <f ca="1">F54=F101</f>
        <v>1</v>
      </c>
      <c r="G102" s="34" t="b">
        <f ca="1">G54=G101</f>
        <v>1</v>
      </c>
      <c r="H102" s="34" t="b">
        <f ca="1">H54=H101</f>
        <v>1</v>
      </c>
    </row>
    <row r="104" spans="1:8" ht="17.25" thickBot="1" x14ac:dyDescent="0.35">
      <c r="A104" s="21" t="str">
        <f ca="1">A56</f>
        <v>Calc (Market Slow Rate)</v>
      </c>
    </row>
    <row r="105" spans="1:8" ht="17.25" thickBot="1" x14ac:dyDescent="0.35">
      <c r="A105" s="17" t="str">
        <f>A98</f>
        <v>Transmission</v>
      </c>
      <c r="E105" s="84">
        <f ca="1">IF(LEFT($A104,5)="blank",0,E57)</f>
        <v>1.2861569700547284</v>
      </c>
      <c r="F105" s="84">
        <f ca="1">IF(LEFT($A104,5)="blank",0,F57)</f>
        <v>1.3144989314465234</v>
      </c>
      <c r="G105" s="84">
        <f ca="1">IF(LEFT($A104,5)="blank",0,G57)</f>
        <v>1.3439906562609254</v>
      </c>
      <c r="H105" s="84">
        <f ca="1">IF(LEFT($A104,5)="blank",0,H57)</f>
        <v>1.3735887469231676</v>
      </c>
    </row>
    <row r="106" spans="1:8" ht="17.25" thickBot="1" x14ac:dyDescent="0.35">
      <c r="A106" s="17" t="str">
        <f>A99</f>
        <v>Distribution</v>
      </c>
      <c r="E106" s="84">
        <f ca="1">IF(LEFT($A104,5)="blank",0,IF('Input Global'!$B$61="No",E58+E61+E65,E58+E61))</f>
        <v>8.7050878398678257</v>
      </c>
      <c r="F106" s="84">
        <f ca="1">IF(LEFT($A104,5)="blank",0,IF('Input Global'!$B$61="No",F58+F61+F65,F58+F61))</f>
        <v>9.6588492178156802</v>
      </c>
      <c r="G106" s="84">
        <f ca="1">IF(LEFT($A104,5)="blank",0,IF('Input Global'!$B$61="No",G58+G61+G65,G58+G61))</f>
        <v>10.827521019853155</v>
      </c>
      <c r="H106" s="84">
        <f ca="1">IF(LEFT($A104,5)="blank",0,IF('Input Global'!$B$61="No",H58+H61+H65,H58+H61))</f>
        <v>12.051235750670838</v>
      </c>
    </row>
    <row r="107" spans="1:8" ht="17.25" thickBot="1" x14ac:dyDescent="0.35">
      <c r="A107" s="17" t="str">
        <f>A100</f>
        <v>Retail and Wholesale</v>
      </c>
      <c r="E107" s="84">
        <f ca="1">IF(LEFT($A104,5)="blank",0,IF('Input Global'!$B$61="No",+E59+E62+E63+E64,+E59+E62+E63+E64+E65))</f>
        <v>18.792470426197912</v>
      </c>
      <c r="F107" s="84">
        <f ca="1">IF(LEFT($A104,5)="blank",0,IF('Input Global'!$B$61="No",+F59+F62+F63+F64,+F59+F62+F63+F64+F65))</f>
        <v>21.305496694031326</v>
      </c>
      <c r="G107" s="84">
        <f ca="1">IF(LEFT($A104,5)="blank",0,IF('Input Global'!$B$61="No",+G59+G62+G63+G64,+G59+G62+G63+G64+G65))</f>
        <v>21.748507777796792</v>
      </c>
      <c r="H107" s="84">
        <f ca="1">IF(LEFT($A104,5)="blank",0,IF('Input Global'!$B$61="No",+H59+H62+H63+H64,+H59+H62+H63+H64+H65))</f>
        <v>21.917774254106781</v>
      </c>
    </row>
    <row r="108" spans="1:8" ht="17.25" thickBot="1" x14ac:dyDescent="0.35">
      <c r="A108" s="20" t="s">
        <v>53</v>
      </c>
      <c r="B108" s="20"/>
      <c r="C108" s="20"/>
      <c r="D108" s="20"/>
      <c r="E108" s="84">
        <f ca="1">SUM(E105:E107)</f>
        <v>28.783715236120464</v>
      </c>
      <c r="F108" s="84">
        <f ca="1">SUM(F105:F107)</f>
        <v>32.278844843293527</v>
      </c>
      <c r="G108" s="84">
        <f ca="1">SUM(G105:G107)</f>
        <v>33.920019453910868</v>
      </c>
      <c r="H108" s="84">
        <f ca="1">SUM(H105:H107)</f>
        <v>35.342598751700791</v>
      </c>
    </row>
    <row r="109" spans="1:8" x14ac:dyDescent="0.3">
      <c r="A109" s="34" t="s">
        <v>90</v>
      </c>
      <c r="E109" s="34" t="b">
        <f ca="1">E66=E108</f>
        <v>1</v>
      </c>
      <c r="F109" s="34" t="b">
        <f ca="1">F66=F108</f>
        <v>1</v>
      </c>
      <c r="G109" s="34" t="b">
        <f ca="1">G66=G108</f>
        <v>1</v>
      </c>
      <c r="H109" s="34" t="b">
        <f ca="1">H66=H108</f>
        <v>1</v>
      </c>
    </row>
    <row r="111" spans="1:8" x14ac:dyDescent="0.3">
      <c r="A111" s="18"/>
    </row>
    <row r="112" spans="1:8" x14ac:dyDescent="0.3">
      <c r="E112" s="102"/>
      <c r="F112" s="102"/>
      <c r="G112" s="102"/>
      <c r="H112" s="102"/>
    </row>
    <row r="113" spans="5:8" x14ac:dyDescent="0.3">
      <c r="E113" s="102"/>
      <c r="F113" s="102"/>
      <c r="G113" s="102"/>
      <c r="H113" s="102"/>
    </row>
    <row r="114" spans="5:8" x14ac:dyDescent="0.3">
      <c r="E114" s="102"/>
      <c r="F114" s="102"/>
      <c r="G114" s="102"/>
      <c r="H114" s="102"/>
    </row>
    <row r="115" spans="5:8" x14ac:dyDescent="0.3">
      <c r="E115" s="102"/>
      <c r="F115" s="102"/>
      <c r="G115" s="102"/>
      <c r="H115" s="102"/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6" orientation="portrait" horizontalDpi="300" verticalDpi="300" r:id="rId1"/>
  <rowBreaks count="2" manualBreakCount="2">
    <brk id="43" max="7" man="1"/>
    <brk id="89" max="7" man="1"/>
  </rowBreaks>
  <colBreaks count="1" manualBreakCount="1">
    <brk id="8" max="12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64"/>
  <sheetViews>
    <sheetView zoomScaleNormal="100" workbookViewId="0">
      <pane xSplit="1" ySplit="4" topLeftCell="B20" activePane="bottomRight" state="frozen"/>
      <selection pane="topRight" activeCell="B1" sqref="B1"/>
      <selection pane="bottomLeft" activeCell="A5" sqref="A5"/>
      <selection pane="bottomRight" activeCell="I27" sqref="I27"/>
    </sheetView>
  </sheetViews>
  <sheetFormatPr defaultColWidth="9.140625" defaultRowHeight="13.5" x14ac:dyDescent="0.25"/>
  <cols>
    <col min="1" max="1" width="61.140625" style="66" bestFit="1" customWidth="1"/>
    <col min="2" max="2" width="18.85546875" style="66" bestFit="1" customWidth="1"/>
    <col min="3" max="3" width="10.5703125" style="66" customWidth="1"/>
    <col min="4" max="8" width="14.5703125" style="66" bestFit="1" customWidth="1"/>
    <col min="9" max="9" width="12" style="66" bestFit="1" customWidth="1"/>
    <col min="10" max="10" width="9.85546875" style="66" bestFit="1" customWidth="1"/>
    <col min="11" max="13" width="9.5703125" style="66" bestFit="1" customWidth="1"/>
    <col min="14" max="16384" width="9.140625" style="66"/>
  </cols>
  <sheetData>
    <row r="1" spans="1:9" s="22" customFormat="1" ht="23.25" x14ac:dyDescent="0.35">
      <c r="A1" s="22" t="s">
        <v>1</v>
      </c>
      <c r="B1" s="67" t="str">
        <f ca="1">Index!B1</f>
        <v>2012 Pricing Trends - model - Vic</v>
      </c>
      <c r="C1" s="24"/>
      <c r="I1" s="121" t="s">
        <v>30</v>
      </c>
    </row>
    <row r="2" spans="1:9" s="22" customFormat="1" ht="18.75" x14ac:dyDescent="0.3">
      <c r="B2" s="25" t="str">
        <f ca="1">RIGHT(CELL("filename",B2),LEN(CELL("filename",B2))-SEARCH("]",CELL("filename",B2)))</f>
        <v>Input Global</v>
      </c>
      <c r="C2" s="26"/>
      <c r="I2" s="77" t="s">
        <v>24</v>
      </c>
    </row>
    <row r="3" spans="1:9" s="22" customFormat="1" ht="16.5" x14ac:dyDescent="0.3">
      <c r="I3" s="78" t="s">
        <v>31</v>
      </c>
    </row>
    <row r="4" spans="1:9" s="22" customFormat="1" ht="15" x14ac:dyDescent="0.3">
      <c r="B4" s="27" t="s">
        <v>10</v>
      </c>
      <c r="C4" s="27" t="s">
        <v>8</v>
      </c>
      <c r="D4" s="27" t="s">
        <v>5</v>
      </c>
      <c r="E4" s="27" t="s">
        <v>4</v>
      </c>
      <c r="F4" s="27" t="s">
        <v>3</v>
      </c>
      <c r="G4" s="27" t="s">
        <v>56</v>
      </c>
      <c r="H4" s="27" t="s">
        <v>2</v>
      </c>
    </row>
    <row r="7" spans="1:9" ht="18.75" x14ac:dyDescent="0.3">
      <c r="A7" s="16" t="s">
        <v>148</v>
      </c>
      <c r="B7" s="66" t="s">
        <v>57</v>
      </c>
    </row>
    <row r="8" spans="1:9" s="35" customFormat="1" ht="16.5" x14ac:dyDescent="0.3">
      <c r="A8" s="35" t="s">
        <v>149</v>
      </c>
      <c r="B8" s="137" t="s">
        <v>128</v>
      </c>
    </row>
    <row r="9" spans="1:9" s="35" customFormat="1" ht="16.5" x14ac:dyDescent="0.3">
      <c r="A9" s="104" t="s">
        <v>150</v>
      </c>
      <c r="B9" s="137" t="s">
        <v>129</v>
      </c>
    </row>
    <row r="10" spans="1:9" s="35" customFormat="1" ht="16.5" x14ac:dyDescent="0.3">
      <c r="A10" s="104" t="s">
        <v>151</v>
      </c>
      <c r="B10" s="137" t="s">
        <v>130</v>
      </c>
    </row>
    <row r="11" spans="1:9" s="35" customFormat="1" ht="16.5" x14ac:dyDescent="0.3">
      <c r="A11" s="104" t="s">
        <v>152</v>
      </c>
      <c r="B11" s="137" t="s">
        <v>131</v>
      </c>
    </row>
    <row r="12" spans="1:9" s="35" customFormat="1" ht="16.5" x14ac:dyDescent="0.3">
      <c r="A12" s="104" t="s">
        <v>153</v>
      </c>
      <c r="B12" s="137" t="s">
        <v>132</v>
      </c>
    </row>
    <row r="13" spans="1:9" s="35" customFormat="1" ht="16.5" x14ac:dyDescent="0.3"/>
    <row r="14" spans="1:9" ht="18.75" x14ac:dyDescent="0.3">
      <c r="A14" s="16" t="s">
        <v>0</v>
      </c>
      <c r="F14" s="125"/>
    </row>
    <row r="15" spans="1:9" s="35" customFormat="1" ht="16.5" x14ac:dyDescent="0.3">
      <c r="A15" s="35" t="s">
        <v>59</v>
      </c>
      <c r="F15" s="45"/>
      <c r="G15" s="154">
        <v>2.5000000000000001E-2</v>
      </c>
    </row>
    <row r="17" spans="1:8" ht="18.75" x14ac:dyDescent="0.3">
      <c r="A17" s="16" t="s">
        <v>7</v>
      </c>
      <c r="B17" s="68"/>
      <c r="C17" s="68"/>
    </row>
    <row r="18" spans="1:8" s="35" customFormat="1" ht="16.5" x14ac:dyDescent="0.3">
      <c r="A18" s="35" t="str">
        <f>Dist1</f>
        <v>Citipower</v>
      </c>
      <c r="B18" s="137" t="s">
        <v>134</v>
      </c>
      <c r="C18" s="35" t="s">
        <v>14</v>
      </c>
      <c r="D18" s="141">
        <v>4739.1206674998848</v>
      </c>
      <c r="E18" s="141">
        <v>4677.5872592354153</v>
      </c>
      <c r="F18" s="141">
        <v>4573.4810018839689</v>
      </c>
      <c r="G18" s="141">
        <v>4456.59395004202</v>
      </c>
      <c r="H18" s="141">
        <v>4368.9962713564673</v>
      </c>
    </row>
    <row r="19" spans="1:8" s="35" customFormat="1" ht="16.5" x14ac:dyDescent="0.3">
      <c r="A19" s="35" t="str">
        <f>Dist2</f>
        <v>Powercor</v>
      </c>
      <c r="B19" s="137" t="s">
        <v>134</v>
      </c>
      <c r="C19" s="35" t="s">
        <v>14</v>
      </c>
      <c r="D19" s="141">
        <f>D18</f>
        <v>4739.1206674998848</v>
      </c>
      <c r="E19" s="141">
        <f t="shared" ref="E19:H19" si="0">E18</f>
        <v>4677.5872592354153</v>
      </c>
      <c r="F19" s="141">
        <f t="shared" si="0"/>
        <v>4573.4810018839689</v>
      </c>
      <c r="G19" s="141">
        <f t="shared" si="0"/>
        <v>4456.59395004202</v>
      </c>
      <c r="H19" s="141">
        <f t="shared" si="0"/>
        <v>4368.9962713564673</v>
      </c>
    </row>
    <row r="20" spans="1:8" s="35" customFormat="1" ht="16.5" x14ac:dyDescent="0.3">
      <c r="A20" s="35" t="str">
        <f>Dist3</f>
        <v>SP Ausnet</v>
      </c>
      <c r="B20" s="137" t="s">
        <v>134</v>
      </c>
      <c r="C20" s="35" t="s">
        <v>14</v>
      </c>
      <c r="D20" s="141">
        <f>D18</f>
        <v>4739.1206674998848</v>
      </c>
      <c r="E20" s="141">
        <f t="shared" ref="E20:H20" si="1">E18</f>
        <v>4677.5872592354153</v>
      </c>
      <c r="F20" s="141">
        <f t="shared" si="1"/>
        <v>4573.4810018839689</v>
      </c>
      <c r="G20" s="141">
        <f t="shared" si="1"/>
        <v>4456.59395004202</v>
      </c>
      <c r="H20" s="141">
        <f t="shared" si="1"/>
        <v>4368.9962713564673</v>
      </c>
    </row>
    <row r="21" spans="1:8" s="35" customFormat="1" ht="16.5" x14ac:dyDescent="0.3">
      <c r="A21" s="35" t="str">
        <f>Dist4</f>
        <v>United</v>
      </c>
      <c r="B21" s="137" t="s">
        <v>134</v>
      </c>
      <c r="C21" s="35" t="s">
        <v>14</v>
      </c>
      <c r="D21" s="141">
        <f>D18</f>
        <v>4739.1206674998848</v>
      </c>
      <c r="E21" s="141">
        <f t="shared" ref="E21:H21" si="2">E18</f>
        <v>4677.5872592354153</v>
      </c>
      <c r="F21" s="141">
        <f t="shared" si="2"/>
        <v>4573.4810018839689</v>
      </c>
      <c r="G21" s="141">
        <f t="shared" si="2"/>
        <v>4456.59395004202</v>
      </c>
      <c r="H21" s="141">
        <f t="shared" si="2"/>
        <v>4368.9962713564673</v>
      </c>
    </row>
    <row r="22" spans="1:8" s="35" customFormat="1" ht="16.5" x14ac:dyDescent="0.3">
      <c r="A22" s="35" t="str">
        <f>Dist5</f>
        <v>Jemena</v>
      </c>
      <c r="B22" s="137" t="s">
        <v>134</v>
      </c>
      <c r="C22" s="35" t="s">
        <v>14</v>
      </c>
      <c r="D22" s="141">
        <f>D18</f>
        <v>4739.1206674998848</v>
      </c>
      <c r="E22" s="141">
        <f t="shared" ref="E22:H22" si="3">E18</f>
        <v>4677.5872592354153</v>
      </c>
      <c r="F22" s="141">
        <f t="shared" si="3"/>
        <v>4573.4810018839689</v>
      </c>
      <c r="G22" s="141">
        <f t="shared" si="3"/>
        <v>4456.59395004202</v>
      </c>
      <c r="H22" s="141">
        <f t="shared" si="3"/>
        <v>4368.9962713564673</v>
      </c>
    </row>
    <row r="24" spans="1:8" ht="18.75" x14ac:dyDescent="0.3">
      <c r="A24" s="16" t="s">
        <v>6</v>
      </c>
    </row>
    <row r="25" spans="1:8" s="35" customFormat="1" ht="16.5" x14ac:dyDescent="0.3">
      <c r="A25" s="35" t="str">
        <f>Dist1</f>
        <v>Citipower</v>
      </c>
      <c r="B25" s="137" t="s">
        <v>134</v>
      </c>
      <c r="C25" s="35" t="s">
        <v>9</v>
      </c>
      <c r="D25" s="141">
        <v>206892.90000000002</v>
      </c>
      <c r="E25" s="141">
        <v>210074.40000000002</v>
      </c>
      <c r="F25" s="141">
        <v>212462.5</v>
      </c>
      <c r="G25" s="141">
        <v>214492.55</v>
      </c>
      <c r="H25" s="141">
        <v>217033.75</v>
      </c>
    </row>
    <row r="26" spans="1:8" s="35" customFormat="1" ht="16.5" x14ac:dyDescent="0.3">
      <c r="A26" s="35" t="str">
        <f>Dist2</f>
        <v>Powercor</v>
      </c>
      <c r="B26" s="137" t="s">
        <v>134</v>
      </c>
      <c r="C26" s="35" t="s">
        <v>9</v>
      </c>
      <c r="D26" s="141">
        <v>534325.10000000009</v>
      </c>
      <c r="E26" s="141">
        <v>547109</v>
      </c>
      <c r="F26" s="141">
        <v>560264.1</v>
      </c>
      <c r="G26" s="141">
        <v>573497.69999999995</v>
      </c>
      <c r="H26" s="141">
        <v>586254.05000000005</v>
      </c>
    </row>
    <row r="27" spans="1:8" s="35" customFormat="1" ht="16.5" x14ac:dyDescent="0.3">
      <c r="A27" s="35" t="str">
        <f>Dist3</f>
        <v>SP Ausnet</v>
      </c>
      <c r="B27" s="137" t="s">
        <v>134</v>
      </c>
      <c r="C27" s="35" t="s">
        <v>9</v>
      </c>
      <c r="D27" s="141">
        <v>437939.93699072965</v>
      </c>
      <c r="E27" s="141">
        <v>448437.65824758715</v>
      </c>
      <c r="F27" s="141">
        <v>459104.76882784686</v>
      </c>
      <c r="G27" s="141">
        <v>468938.37964025221</v>
      </c>
      <c r="H27" s="141">
        <v>478170.29581620364</v>
      </c>
    </row>
    <row r="28" spans="1:8" s="35" customFormat="1" ht="16.5" x14ac:dyDescent="0.3">
      <c r="A28" s="35" t="str">
        <f>Dist4</f>
        <v>United</v>
      </c>
      <c r="B28" s="137" t="s">
        <v>134</v>
      </c>
      <c r="C28" s="35" t="s">
        <v>9</v>
      </c>
      <c r="D28" s="141">
        <v>560007.73166388785</v>
      </c>
      <c r="E28" s="141">
        <v>565367.53910970315</v>
      </c>
      <c r="F28" s="141">
        <v>570660.10764254746</v>
      </c>
      <c r="G28" s="141">
        <v>575547.65028009331</v>
      </c>
      <c r="H28" s="141">
        <v>580010.56920640217</v>
      </c>
    </row>
    <row r="29" spans="1:8" s="35" customFormat="1" ht="16.5" x14ac:dyDescent="0.3">
      <c r="A29" s="35" t="str">
        <f>Dist5</f>
        <v>Jemena</v>
      </c>
      <c r="B29" s="137" t="s">
        <v>134</v>
      </c>
      <c r="C29" s="35" t="s">
        <v>9</v>
      </c>
      <c r="D29" s="141">
        <v>274973.77500000002</v>
      </c>
      <c r="E29" s="141">
        <v>278969.92500000005</v>
      </c>
      <c r="F29" s="141">
        <v>282789.90000000002</v>
      </c>
      <c r="G29" s="141">
        <v>286186.02500000002</v>
      </c>
      <c r="H29" s="141">
        <v>289338.05000000005</v>
      </c>
    </row>
    <row r="30" spans="1:8" s="35" customFormat="1" ht="16.5" x14ac:dyDescent="0.3">
      <c r="A30" s="35" t="s">
        <v>53</v>
      </c>
      <c r="D30" s="108">
        <f>SUM(D25:D29)</f>
        <v>2014139.4436546178</v>
      </c>
      <c r="E30" s="108">
        <f t="shared" ref="E30:H30" si="4">SUM(E25:E29)</f>
        <v>2049958.5223572904</v>
      </c>
      <c r="F30" s="108">
        <f t="shared" si="4"/>
        <v>2085281.3764703944</v>
      </c>
      <c r="G30" s="108">
        <f t="shared" si="4"/>
        <v>2118662.3049203455</v>
      </c>
      <c r="H30" s="108">
        <f t="shared" si="4"/>
        <v>2150806.7150226058</v>
      </c>
    </row>
    <row r="32" spans="1:8" ht="18.75" x14ac:dyDescent="0.3">
      <c r="A32" s="16" t="s">
        <v>154</v>
      </c>
    </row>
    <row r="33" spans="1:13" s="35" customFormat="1" ht="16.5" x14ac:dyDescent="0.3">
      <c r="A33" s="35" t="str">
        <f>Dist1 &amp; " region"</f>
        <v>Citipower region</v>
      </c>
      <c r="B33" s="137" t="s">
        <v>141</v>
      </c>
      <c r="C33" s="35" t="s">
        <v>22</v>
      </c>
      <c r="D33" s="161"/>
      <c r="E33" s="161">
        <v>0.58876654980515952</v>
      </c>
      <c r="F33" s="161">
        <v>0.57025779890018258</v>
      </c>
      <c r="G33" s="161">
        <v>0.58872251423034383</v>
      </c>
      <c r="H33" s="161">
        <v>0.56519238674443606</v>
      </c>
      <c r="I33" s="66"/>
      <c r="J33" s="66"/>
      <c r="K33" s="66"/>
      <c r="L33" s="66"/>
      <c r="M33" s="57"/>
    </row>
    <row r="34" spans="1:13" s="35" customFormat="1" ht="16.5" x14ac:dyDescent="0.3">
      <c r="A34" s="35" t="str">
        <f>Dist2 &amp; " region"</f>
        <v>Powercor region</v>
      </c>
      <c r="B34" s="137" t="s">
        <v>141</v>
      </c>
      <c r="C34" s="35" t="s">
        <v>22</v>
      </c>
      <c r="D34" s="161">
        <f>D33</f>
        <v>0</v>
      </c>
      <c r="E34" s="161">
        <v>0.66758714555290211</v>
      </c>
      <c r="F34" s="161">
        <v>0.61121116840568002</v>
      </c>
      <c r="G34" s="161">
        <v>0.6289916617726059</v>
      </c>
      <c r="H34" s="161">
        <v>0.60989635489957317</v>
      </c>
      <c r="I34" s="66"/>
      <c r="J34" s="66"/>
      <c r="K34" s="66"/>
      <c r="L34" s="66"/>
      <c r="M34" s="57"/>
    </row>
    <row r="35" spans="1:13" s="35" customFormat="1" ht="16.5" x14ac:dyDescent="0.3">
      <c r="A35" s="35" t="str">
        <f>Dist3 &amp; " region"</f>
        <v>SP Ausnet region</v>
      </c>
      <c r="B35" s="137" t="s">
        <v>141</v>
      </c>
      <c r="C35" s="35" t="s">
        <v>22</v>
      </c>
      <c r="D35" s="161">
        <f t="shared" ref="D35:D37" si="5">D34</f>
        <v>0</v>
      </c>
      <c r="E35" s="161">
        <v>0.54703941953661073</v>
      </c>
      <c r="F35" s="161">
        <v>0.4783100251918635</v>
      </c>
      <c r="G35" s="161">
        <v>0.51764873777800169</v>
      </c>
      <c r="H35" s="161">
        <v>0.49709813760390087</v>
      </c>
      <c r="I35" s="66"/>
      <c r="J35" s="66"/>
      <c r="K35" s="66"/>
      <c r="L35" s="66"/>
      <c r="M35" s="57"/>
    </row>
    <row r="36" spans="1:13" s="35" customFormat="1" ht="16.5" x14ac:dyDescent="0.3">
      <c r="A36" s="35" t="str">
        <f>Dist4 &amp; " region"</f>
        <v>United region</v>
      </c>
      <c r="B36" s="137" t="s">
        <v>141</v>
      </c>
      <c r="C36" s="35" t="s">
        <v>22</v>
      </c>
      <c r="D36" s="161">
        <f t="shared" si="5"/>
        <v>0</v>
      </c>
      <c r="E36" s="161">
        <v>0.54089548345057559</v>
      </c>
      <c r="F36" s="161">
        <v>0.48864217795256387</v>
      </c>
      <c r="G36" s="161">
        <v>0.5038684700442605</v>
      </c>
      <c r="H36" s="161">
        <v>0.47907066466437348</v>
      </c>
      <c r="I36" s="66"/>
      <c r="J36" s="66"/>
      <c r="K36" s="66"/>
      <c r="L36" s="66"/>
      <c r="M36" s="57"/>
    </row>
    <row r="37" spans="1:13" s="35" customFormat="1" ht="16.5" x14ac:dyDescent="0.3">
      <c r="A37" s="35" t="str">
        <f>Dist5 &amp; " region"</f>
        <v>Jemena region</v>
      </c>
      <c r="B37" s="137" t="s">
        <v>141</v>
      </c>
      <c r="C37" s="35" t="s">
        <v>22</v>
      </c>
      <c r="D37" s="161">
        <f t="shared" si="5"/>
        <v>0</v>
      </c>
      <c r="E37" s="161">
        <v>0.52435792698959904</v>
      </c>
      <c r="F37" s="161">
        <v>0.50043359162721712</v>
      </c>
      <c r="G37" s="161">
        <v>0.49499776588005856</v>
      </c>
      <c r="H37" s="161">
        <v>0.49016877640656709</v>
      </c>
      <c r="I37" s="66"/>
      <c r="J37" s="66"/>
      <c r="K37" s="66"/>
      <c r="L37" s="66"/>
      <c r="M37" s="57"/>
    </row>
    <row r="38" spans="1:13" s="35" customFormat="1" ht="16.5" x14ac:dyDescent="0.3">
      <c r="A38" s="42"/>
      <c r="D38" s="72"/>
      <c r="E38" s="72"/>
      <c r="F38" s="72"/>
      <c r="I38" s="66"/>
      <c r="J38" s="66"/>
      <c r="K38" s="66"/>
      <c r="L38" s="66"/>
    </row>
    <row r="39" spans="1:13" ht="18.75" x14ac:dyDescent="0.3">
      <c r="A39" s="16" t="s">
        <v>58</v>
      </c>
      <c r="F39" s="69"/>
    </row>
    <row r="40" spans="1:13" s="35" customFormat="1" ht="16.5" x14ac:dyDescent="0.3">
      <c r="A40" s="137" t="s">
        <v>133</v>
      </c>
      <c r="B40" s="137" t="s">
        <v>134</v>
      </c>
      <c r="C40" s="104" t="s">
        <v>22</v>
      </c>
      <c r="E40" s="154">
        <v>-1.01E-2</v>
      </c>
      <c r="F40" s="154">
        <v>-1.01E-2</v>
      </c>
      <c r="G40" s="154">
        <v>-1.01E-2</v>
      </c>
      <c r="H40" s="154">
        <v>-1.01E-2</v>
      </c>
      <c r="J40" s="104"/>
      <c r="K40" s="104"/>
      <c r="M40" s="45"/>
    </row>
    <row r="41" spans="1:13" s="35" customFormat="1" ht="16.5" x14ac:dyDescent="0.3">
      <c r="A41" s="35" t="str">
        <f>Dist1</f>
        <v>Citipower</v>
      </c>
      <c r="B41" s="137" t="s">
        <v>134</v>
      </c>
      <c r="C41" s="104" t="s">
        <v>22</v>
      </c>
      <c r="E41" s="154">
        <v>-0.04</v>
      </c>
      <c r="F41" s="154">
        <v>-6.7799999999999999E-2</v>
      </c>
      <c r="G41" s="154">
        <v>-7.8E-2</v>
      </c>
      <c r="H41" s="154">
        <v>-7.8E-2</v>
      </c>
      <c r="J41" s="104"/>
      <c r="K41" s="104"/>
    </row>
    <row r="42" spans="1:13" s="35" customFormat="1" ht="16.5" x14ac:dyDescent="0.3">
      <c r="A42" s="35" t="str">
        <f>Dist2</f>
        <v>Powercor</v>
      </c>
      <c r="B42" s="137" t="s">
        <v>134</v>
      </c>
      <c r="C42" s="104" t="s">
        <v>22</v>
      </c>
      <c r="E42" s="154">
        <v>-0.03</v>
      </c>
      <c r="F42" s="154">
        <v>-6.3600000000000004E-2</v>
      </c>
      <c r="G42" s="154">
        <v>-6.7000000000000004E-2</v>
      </c>
      <c r="H42" s="154">
        <v>-7.1999999999999995E-2</v>
      </c>
      <c r="J42" s="66"/>
      <c r="K42" s="66"/>
      <c r="M42" s="126"/>
    </row>
    <row r="43" spans="1:13" s="35" customFormat="1" ht="16.5" x14ac:dyDescent="0.3">
      <c r="A43" s="35" t="str">
        <f>Dist3</f>
        <v>SP Ausnet</v>
      </c>
      <c r="B43" s="137" t="s">
        <v>134</v>
      </c>
      <c r="C43" s="104" t="s">
        <v>22</v>
      </c>
      <c r="E43" s="154">
        <v>-0.04</v>
      </c>
      <c r="F43" s="154">
        <v>-5.2200000000000003E-2</v>
      </c>
      <c r="G43" s="154">
        <v>-6.0999999999999999E-2</v>
      </c>
      <c r="H43" s="154">
        <v>-6.0999999999999999E-2</v>
      </c>
      <c r="J43" s="66"/>
      <c r="K43" s="66"/>
    </row>
    <row r="44" spans="1:13" s="35" customFormat="1" ht="16.5" x14ac:dyDescent="0.3">
      <c r="A44" s="35" t="str">
        <f>Dist4</f>
        <v>United</v>
      </c>
      <c r="B44" s="137" t="s">
        <v>134</v>
      </c>
      <c r="C44" s="104" t="s">
        <v>22</v>
      </c>
      <c r="E44" s="154">
        <v>-0.01</v>
      </c>
      <c r="F44" s="154">
        <v>-5.9700000000000003E-2</v>
      </c>
      <c r="G44" s="154">
        <v>-0.1</v>
      </c>
      <c r="H44" s="154">
        <v>-0.1</v>
      </c>
    </row>
    <row r="45" spans="1:13" s="35" customFormat="1" ht="16.5" x14ac:dyDescent="0.3">
      <c r="A45" s="35" t="str">
        <f>Dist5</f>
        <v>Jemena</v>
      </c>
      <c r="B45" s="137" t="s">
        <v>134</v>
      </c>
      <c r="C45" s="104" t="s">
        <v>22</v>
      </c>
      <c r="E45" s="154">
        <v>-0.03</v>
      </c>
      <c r="F45" s="154">
        <v>-7.9699999999999993E-2</v>
      </c>
      <c r="G45" s="154">
        <v>-7.4999999999999997E-2</v>
      </c>
      <c r="H45" s="154">
        <v>-3.4000000000000002E-2</v>
      </c>
    </row>
    <row r="46" spans="1:13" s="104" customFormat="1" ht="16.5" x14ac:dyDescent="0.3">
      <c r="J46" s="66"/>
      <c r="K46" s="66"/>
    </row>
    <row r="47" spans="1:13" s="104" customFormat="1" ht="16.5" x14ac:dyDescent="0.3">
      <c r="A47" s="104" t="str">
        <f>TNSP &amp; " growth factor"</f>
        <v>SP Ausnet Transmission growth factor</v>
      </c>
      <c r="B47" s="137" t="s">
        <v>134</v>
      </c>
      <c r="C47" s="104" t="s">
        <v>22</v>
      </c>
      <c r="D47" s="155">
        <v>1.4E-2</v>
      </c>
      <c r="E47" s="155">
        <v>1.4E-2</v>
      </c>
      <c r="F47" s="155">
        <v>1.4E-2</v>
      </c>
      <c r="G47" s="155">
        <v>1.4E-2</v>
      </c>
      <c r="H47" s="155">
        <v>1.4E-2</v>
      </c>
      <c r="J47" s="66"/>
      <c r="K47" s="66"/>
    </row>
    <row r="48" spans="1:13" s="104" customFormat="1" ht="16.5" x14ac:dyDescent="0.3">
      <c r="J48" s="35"/>
      <c r="K48" s="35"/>
    </row>
    <row r="49" spans="1:11" ht="16.5" x14ac:dyDescent="0.3">
      <c r="J49" s="35"/>
      <c r="K49" s="35"/>
    </row>
    <row r="50" spans="1:11" ht="18.75" x14ac:dyDescent="0.3">
      <c r="A50" s="16" t="s">
        <v>61</v>
      </c>
    </row>
    <row r="51" spans="1:11" s="35" customFormat="1" ht="16.5" x14ac:dyDescent="0.3">
      <c r="A51" s="137" t="s">
        <v>143</v>
      </c>
      <c r="J51" s="66"/>
      <c r="K51" s="66"/>
    </row>
    <row r="52" spans="1:11" s="35" customFormat="1" ht="16.5" x14ac:dyDescent="0.3">
      <c r="A52" s="137" t="s">
        <v>135</v>
      </c>
      <c r="J52" s="66"/>
      <c r="K52" s="66"/>
    </row>
    <row r="53" spans="1:11" ht="16.5" x14ac:dyDescent="0.3">
      <c r="J53" s="104"/>
      <c r="K53" s="104"/>
    </row>
    <row r="54" spans="1:11" ht="18.75" x14ac:dyDescent="0.3">
      <c r="A54" s="16" t="s">
        <v>73</v>
      </c>
      <c r="J54" s="104"/>
      <c r="K54" s="104"/>
    </row>
    <row r="55" spans="1:11" s="35" customFormat="1" ht="16.5" x14ac:dyDescent="0.3">
      <c r="A55" s="79" t="s">
        <v>74</v>
      </c>
      <c r="B55" s="105" t="s">
        <v>114</v>
      </c>
    </row>
    <row r="56" spans="1:11" s="35" customFormat="1" ht="16.5" x14ac:dyDescent="0.3">
      <c r="A56" s="79" t="s">
        <v>75</v>
      </c>
      <c r="B56" s="105" t="s">
        <v>115</v>
      </c>
    </row>
    <row r="57" spans="1:11" ht="16.5" x14ac:dyDescent="0.3">
      <c r="B57" s="105" t="s">
        <v>113</v>
      </c>
    </row>
    <row r="59" spans="1:11" ht="18.75" x14ac:dyDescent="0.3">
      <c r="A59" s="16" t="s">
        <v>121</v>
      </c>
    </row>
    <row r="60" spans="1:11" s="104" customFormat="1" ht="16.5" x14ac:dyDescent="0.3">
      <c r="A60" s="104" t="s">
        <v>112</v>
      </c>
      <c r="B60" s="137" t="s">
        <v>113</v>
      </c>
      <c r="C60" s="113"/>
      <c r="E60" s="113"/>
      <c r="F60" s="113"/>
      <c r="G60" s="113"/>
      <c r="H60" s="113"/>
      <c r="J60" s="66"/>
      <c r="K60" s="66"/>
    </row>
    <row r="61" spans="1:11" s="104" customFormat="1" ht="14.25" customHeight="1" x14ac:dyDescent="0.3">
      <c r="A61" s="104" t="str">
        <f>"Is "&amp;Scheme1&amp;" included as part of total retail costs"</f>
        <v>Is Energy Saver Incentive included as part of total retail costs</v>
      </c>
      <c r="B61" s="137" t="s">
        <v>74</v>
      </c>
      <c r="E61" s="113"/>
      <c r="F61" s="117"/>
      <c r="G61" s="55"/>
      <c r="H61" s="55"/>
      <c r="J61" s="66"/>
      <c r="K61" s="66"/>
    </row>
    <row r="62" spans="1:11" s="35" customFormat="1" ht="16.5" x14ac:dyDescent="0.3">
      <c r="A62" s="35" t="s">
        <v>78</v>
      </c>
      <c r="B62" s="137" t="s">
        <v>75</v>
      </c>
      <c r="F62" s="53"/>
      <c r="J62" s="66"/>
      <c r="K62" s="66"/>
    </row>
    <row r="63" spans="1:11" s="35" customFormat="1" ht="16.5" x14ac:dyDescent="0.3">
      <c r="A63" s="95" t="s">
        <v>86</v>
      </c>
      <c r="B63" s="137" t="s">
        <v>74</v>
      </c>
      <c r="C63" s="95"/>
      <c r="J63" s="66"/>
      <c r="K63" s="66"/>
    </row>
    <row r="64" spans="1:11" ht="16.5" x14ac:dyDescent="0.3">
      <c r="A64" s="104" t="s">
        <v>123</v>
      </c>
      <c r="B64" s="104"/>
      <c r="C64" s="104"/>
      <c r="D64" s="137" t="s">
        <v>75</v>
      </c>
      <c r="E64" s="137" t="s">
        <v>75</v>
      </c>
      <c r="F64" s="137" t="s">
        <v>74</v>
      </c>
      <c r="G64" s="137" t="s">
        <v>74</v>
      </c>
      <c r="H64" s="137" t="s">
        <v>74</v>
      </c>
    </row>
  </sheetData>
  <sheetProtection password="D9A8" sheet="1" objects="1" scenarios="1"/>
  <dataValidations count="2">
    <dataValidation type="list" allowBlank="1" showInputMessage="1" showErrorMessage="1" sqref="B60">
      <formula1>$B$55:$B$57</formula1>
    </dataValidation>
    <dataValidation type="list" allowBlank="1" showInputMessage="1" showErrorMessage="1" sqref="D64:H64 B61:B63">
      <formula1>$A$55:$A$56</formula1>
    </dataValidation>
  </dataValidations>
  <pageMargins left="0.70866141732283472" right="0.70866141732283472" top="0.74803149606299213" bottom="0.74803149606299213" header="0.31496062992125984" footer="0.31496062992125984"/>
  <pageSetup paperSize="9" scale="49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347"/>
  <sheetViews>
    <sheetView topLeftCell="A160" workbookViewId="0">
      <selection activeCell="D182" sqref="D182"/>
    </sheetView>
  </sheetViews>
  <sheetFormatPr defaultRowHeight="15" x14ac:dyDescent="0.25"/>
  <cols>
    <col min="1" max="1" width="35.42578125" customWidth="1"/>
    <col min="2" max="2" width="10.85546875" bestFit="1" customWidth="1"/>
    <col min="5" max="5" width="10.42578125" customWidth="1"/>
    <col min="6" max="6" width="11" customWidth="1"/>
    <col min="7" max="8" width="10.42578125" bestFit="1" customWidth="1"/>
  </cols>
  <sheetData>
    <row r="1" spans="1:11" s="98" customFormat="1" ht="23.25" x14ac:dyDescent="0.35">
      <c r="A1" s="98" t="s">
        <v>1</v>
      </c>
      <c r="B1" s="123" t="str">
        <f ca="1">'Input Global'!B1</f>
        <v>2012 Pricing Trends - model - Vic</v>
      </c>
      <c r="C1" s="99"/>
      <c r="D1" s="99"/>
      <c r="E1" s="99"/>
      <c r="F1" s="99"/>
      <c r="I1" s="105" t="s">
        <v>30</v>
      </c>
    </row>
    <row r="2" spans="1:11" s="98" customFormat="1" ht="19.5" thickBot="1" x14ac:dyDescent="0.35">
      <c r="B2" s="100" t="str">
        <f ca="1">RIGHT(CELL("filename",B2),LEN(CELL("filename",B2))-SEARCH("]",CELL("filename",B2)))</f>
        <v>Input Frontier</v>
      </c>
      <c r="C2" s="100"/>
      <c r="D2" s="100"/>
      <c r="E2" s="100"/>
      <c r="F2" s="100"/>
      <c r="I2" s="85" t="s">
        <v>24</v>
      </c>
    </row>
    <row r="3" spans="1:11" s="98" customFormat="1" ht="16.5" x14ac:dyDescent="0.3">
      <c r="I3" s="92" t="s">
        <v>31</v>
      </c>
    </row>
    <row r="4" spans="1:11" s="98" customFormat="1" ht="15.75" x14ac:dyDescent="0.3">
      <c r="B4" s="27"/>
      <c r="C4" s="101" t="s">
        <v>8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1" s="37" customFormat="1" ht="18.75" x14ac:dyDescent="0.3">
      <c r="A6" s="36" t="s">
        <v>109</v>
      </c>
    </row>
    <row r="8" spans="1:11" ht="16.5" x14ac:dyDescent="0.3">
      <c r="A8" t="str">
        <f>A176</f>
        <v xml:space="preserve">Market Fees </v>
      </c>
      <c r="B8" t="s">
        <v>36</v>
      </c>
      <c r="C8" t="s">
        <v>125</v>
      </c>
      <c r="F8" s="111">
        <f>F176*100/1000</f>
        <v>3.9600000000000003E-2</v>
      </c>
      <c r="G8" s="111">
        <f>G176*(1+inflation)*100/1000</f>
        <v>4.0500000000000001E-2</v>
      </c>
      <c r="H8" s="111">
        <f>H176*(1+inflation)^2*100/1000</f>
        <v>4.1250000000000002E-2</v>
      </c>
    </row>
    <row r="9" spans="1:11" ht="16.5" x14ac:dyDescent="0.3">
      <c r="A9" t="str">
        <f>A177</f>
        <v>Ancillary Services</v>
      </c>
      <c r="B9" t="s">
        <v>36</v>
      </c>
      <c r="C9" t="s">
        <v>125</v>
      </c>
      <c r="F9" s="111">
        <f>F177*100/1000</f>
        <v>1.8729034256352792E-2</v>
      </c>
      <c r="G9" s="111">
        <f>G177*(1+inflation)*100/1000</f>
        <v>1.9197260112761606E-2</v>
      </c>
      <c r="H9" s="111">
        <f>H177*(1+inflation)^2*100/1000</f>
        <v>1.9677191615580646E-2</v>
      </c>
    </row>
    <row r="11" spans="1:11" x14ac:dyDescent="0.25">
      <c r="A11" s="38" t="str">
        <f>A179</f>
        <v>Citipower</v>
      </c>
    </row>
    <row r="12" spans="1:11" ht="16.5" x14ac:dyDescent="0.3">
      <c r="A12" t="str">
        <f ca="1">A180</f>
        <v>Calc (LRMC Planning case)</v>
      </c>
      <c r="B12" t="s">
        <v>36</v>
      </c>
      <c r="C12" t="s">
        <v>125</v>
      </c>
      <c r="F12" s="111">
        <f>IF('Input General'!F355=0, F180*100/1000+F$8+F$9, F180*100/1000+F$9)</f>
        <v>7.4515274972700372</v>
      </c>
      <c r="G12" s="111">
        <f>IF('Input General'!G355=0, G180*(1+inflation)*100/1000+G$9+G$8, G180*(1+inflation)*100/1000+G$9)</f>
        <v>7.7243966520863268</v>
      </c>
      <c r="H12" s="111">
        <f>IF('Input General'!H355=0,H180*(1+inflation)^2*100/1000+H$8+H$9,H180*(1+inflation)^2*100/1000+H$9)</f>
        <v>8.1213033619372936</v>
      </c>
      <c r="K12" s="112"/>
    </row>
    <row r="13" spans="1:11" ht="16.5" x14ac:dyDescent="0.3">
      <c r="A13" t="str">
        <f ca="1">A181</f>
        <v>Calc (LRMC Slow Rate)</v>
      </c>
      <c r="B13" t="s">
        <v>36</v>
      </c>
      <c r="C13" t="s">
        <v>125</v>
      </c>
      <c r="F13" s="111">
        <f>IF('Input General'!F355=0, F181*100/1000+F$8+F$9, F181*100/1000+F$9)</f>
        <v>7.0593317955702757</v>
      </c>
      <c r="G13" s="111">
        <f>IF('Input General'!G355=0, G181*(1+inflation)*100/1000+G$9+G$8, G181*(1+inflation)*100/1000+G$9)</f>
        <v>7.4438933096309912</v>
      </c>
      <c r="H13" s="111">
        <f>IF('Input General'!H355=0,H181*(1+inflation)^2*100/1000+H$8+H$9,H181*(1+inflation)^2*100/1000+H$9)</f>
        <v>7.7345100035298842</v>
      </c>
    </row>
    <row r="14" spans="1:11" ht="16.5" x14ac:dyDescent="0.3">
      <c r="A14" t="str">
        <f ca="1">A182</f>
        <v>Calc (Market Planning Case)</v>
      </c>
      <c r="B14" t="s">
        <v>36</v>
      </c>
      <c r="C14" t="s">
        <v>125</v>
      </c>
      <c r="F14" s="111">
        <f>IF('Input General'!F355=0, F182*100/1000+F$8+F$9, F182*100/1000+F$9)</f>
        <v>7.4086824220582086</v>
      </c>
      <c r="G14" s="111">
        <f>IF('Input General'!G355=0, G182*(1+inflation)*100/1000+G$9+G$8, G182*(1+inflation)*100/1000+G$9)</f>
        <v>7.0509728081370948</v>
      </c>
      <c r="H14" s="111">
        <f>IF('Input General'!H355=0,H182*(1+inflation)^2*100/1000+H$8+H$9,H182*(1+inflation)^2*100/1000+H$9)</f>
        <v>7.5151815583432846</v>
      </c>
    </row>
    <row r="15" spans="1:11" ht="16.5" x14ac:dyDescent="0.3">
      <c r="A15" t="str">
        <f ca="1">A183</f>
        <v>Calc (Market Slow Rate)</v>
      </c>
      <c r="B15" t="s">
        <v>36</v>
      </c>
      <c r="C15" t="s">
        <v>125</v>
      </c>
      <c r="F15" s="111">
        <f>IF('Input General'!F355=0, F183*100/1000+F$8+F$9, F183*100/1000+F$9)</f>
        <v>6.8243130123972975</v>
      </c>
      <c r="G15" s="111">
        <f>IF('Input General'!G355=0, G183*(1+inflation)*100/1000+G$9+G$8, G183*(1+inflation)*100/1000+G$9)</f>
        <v>6.9581583964993214</v>
      </c>
      <c r="H15" s="111">
        <f>IF('Input General'!H355=0,H183*(1+inflation)^2*100/1000+H$8+H$9,H183*(1+inflation)^2*100/1000+H$9)</f>
        <v>6.7557650896228507</v>
      </c>
    </row>
    <row r="17" spans="1:8" x14ac:dyDescent="0.25">
      <c r="A17" s="38" t="str">
        <f>A185</f>
        <v>Powercor</v>
      </c>
    </row>
    <row r="18" spans="1:8" ht="16.5" x14ac:dyDescent="0.3">
      <c r="A18" t="str">
        <f ca="1">A186</f>
        <v>Calc (LRMC Planning case)</v>
      </c>
      <c r="B18" t="s">
        <v>36</v>
      </c>
      <c r="C18" t="s">
        <v>125</v>
      </c>
      <c r="F18" s="111">
        <f>IF('Input General'!$F$366=0, F186*100/1000+F$8+F$9, F186*100/1000+F$9)</f>
        <v>7.4985694991946392</v>
      </c>
      <c r="G18" s="111">
        <f>IF('Input General'!G366=0, G186*(1+inflation)*100/1000+G$9+G$8, G186*(1+inflation)*100/1000+G$9)</f>
        <v>7.7748827618881391</v>
      </c>
      <c r="H18" s="111">
        <f>IF('Input General'!H366=0,H186*(1+inflation)^2*100/1000+H$8+H$9,H186*(1+inflation)^2*100/1000+H$9)</f>
        <v>8.1738137040882712</v>
      </c>
    </row>
    <row r="19" spans="1:8" ht="16.5" x14ac:dyDescent="0.3">
      <c r="A19" t="str">
        <f ca="1">A187</f>
        <v>Calc (LRMC Slow Rate)</v>
      </c>
      <c r="B19" t="s">
        <v>36</v>
      </c>
      <c r="C19" t="s">
        <v>125</v>
      </c>
      <c r="F19" s="111">
        <f>IF('Input General'!$F$366=0, F187*100/1000+F$8+F$9, F187*100/1000+F$9)</f>
        <v>7.08981984174053</v>
      </c>
      <c r="G19" s="111">
        <f>IF('Input General'!G366=0, G187*(1+inflation)*100/1000+G$9+G$8, G187*(1+inflation)*100/1000+G$9)</f>
        <v>7.4690576480511277</v>
      </c>
      <c r="H19" s="111">
        <f>IF('Input General'!H366=0,H187*(1+inflation)^2*100/1000+H$8+H$9,H187*(1+inflation)^2*100/1000+H$9)</f>
        <v>8.1526681392322704</v>
      </c>
    </row>
    <row r="20" spans="1:8" ht="16.5" x14ac:dyDescent="0.3">
      <c r="A20" t="str">
        <f ca="1">A188</f>
        <v>Calc (Market Planning Case)</v>
      </c>
      <c r="B20" t="s">
        <v>36</v>
      </c>
      <c r="C20" t="s">
        <v>125</v>
      </c>
      <c r="F20" s="111">
        <f>IF('Input General'!$F$366=0, F188*100/1000+F$8+F$9, F188*100/1000+F$9)</f>
        <v>7.2389950453919605</v>
      </c>
      <c r="G20" s="111">
        <f>IF('Input General'!G366=0, G188*(1+inflation)*100/1000+G$9+G$8, G188*(1+inflation)*100/1000+G$9)</f>
        <v>6.9303624256988199</v>
      </c>
      <c r="H20" s="111">
        <f>IF('Input General'!H366=0,H188*(1+inflation)^2*100/1000+H$8+H$9,H188*(1+inflation)^2*100/1000+H$9)</f>
        <v>7.3834280818216289</v>
      </c>
    </row>
    <row r="21" spans="1:8" ht="16.5" x14ac:dyDescent="0.3">
      <c r="A21" t="str">
        <f ca="1">A189</f>
        <v>Calc (Market Slow Rate)</v>
      </c>
      <c r="B21" t="s">
        <v>36</v>
      </c>
      <c r="C21" t="s">
        <v>125</v>
      </c>
      <c r="F21" s="111">
        <f>IF('Input General'!$F$366=0, F189*100/1000+F$8+F$9, F189*100/1000+F$9)</f>
        <v>6.6961440368960288</v>
      </c>
      <c r="G21" s="111">
        <f>IF('Input General'!G366=0, G189*(1+inflation)*100/1000+G$9+G$8, G189*(1+inflation)*100/1000+G$9)</f>
        <v>6.6750949475856354</v>
      </c>
      <c r="H21" s="111">
        <f>IF('Input General'!H366=0,H189*(1+inflation)^2*100/1000+H$8+H$9,H189*(1+inflation)^2*100/1000+H$9)</f>
        <v>6.6702376998368313</v>
      </c>
    </row>
    <row r="23" spans="1:8" x14ac:dyDescent="0.25">
      <c r="A23" s="38" t="str">
        <f>A191</f>
        <v>SP Ausnet</v>
      </c>
    </row>
    <row r="24" spans="1:8" ht="16.5" x14ac:dyDescent="0.3">
      <c r="A24" t="str">
        <f ca="1">A192</f>
        <v>Calc (LRMC Planning case)</v>
      </c>
      <c r="B24" t="s">
        <v>36</v>
      </c>
      <c r="C24" t="s">
        <v>125</v>
      </c>
      <c r="F24" s="111">
        <f>IF('Input General'!F377=0, F192*100/1000+F$8+F$9, F192*100/1000+F$9)</f>
        <v>7.6274109624530713</v>
      </c>
      <c r="G24" s="111">
        <f>IF('Input General'!G377=0, G192*(1+inflation)*100/1000+G$9+G$8, G192*(1+inflation)*100/1000+G$9)</f>
        <v>7.9069926106159176</v>
      </c>
      <c r="H24" s="111">
        <f>IF('Input General'!H377=0,H192*(1+inflation)^2*100/1000+H$8+H$9,H192*(1+inflation)^2*100/1000+H$9)</f>
        <v>8.310301934603018</v>
      </c>
    </row>
    <row r="25" spans="1:8" ht="16.5" x14ac:dyDescent="0.3">
      <c r="A25" t="str">
        <f ca="1">A193</f>
        <v>Calc (LRMC Slow Rate)</v>
      </c>
      <c r="B25" t="s">
        <v>36</v>
      </c>
      <c r="C25" t="s">
        <v>125</v>
      </c>
      <c r="F25" s="111">
        <f>IF('Input General'!F377=0, F193*100/1000+F$8+F$9, F193*100/1000+F$9)</f>
        <v>7.2088254503255991</v>
      </c>
      <c r="G25" s="111">
        <f>IF('Input General'!G377=0, G193*(1+inflation)*100/1000+G$9+G$8, G193*(1+inflation)*100/1000+G$9)</f>
        <v>7.5914133640435058</v>
      </c>
      <c r="H25" s="111">
        <f>IF('Input General'!H377=0,H193*(1+inflation)^2*100/1000+H$8+H$9,H193*(1+inflation)^2*100/1000+H$9)</f>
        <v>7.8889214857765921</v>
      </c>
    </row>
    <row r="26" spans="1:8" ht="16.5" x14ac:dyDescent="0.3">
      <c r="A26" t="str">
        <f ca="1">A194</f>
        <v>Calc (Market Planning Case)</v>
      </c>
      <c r="B26" t="s">
        <v>36</v>
      </c>
      <c r="C26" t="s">
        <v>125</v>
      </c>
      <c r="F26" s="111">
        <f>IF('Input General'!F377=0, F194*100/1000+F$8+F$9, F194*100/1000+F$9)</f>
        <v>7.352949245745986</v>
      </c>
      <c r="G26" s="111">
        <f>IF('Input General'!G377=0, G194*(1+inflation)*100/1000+G$9+G$8, G194*(1+inflation)*100/1000+G$9)</f>
        <v>7.0308611357177968</v>
      </c>
      <c r="H26" s="111">
        <f>IF('Input General'!H377=0,H194*(1+inflation)^2*100/1000+H$8+H$9,H194*(1+inflation)^2*100/1000+H$9)</f>
        <v>7.4876582700287511</v>
      </c>
    </row>
    <row r="27" spans="1:8" ht="16.5" x14ac:dyDescent="0.3">
      <c r="A27" t="str">
        <f ca="1">A195</f>
        <v>Calc (Market Slow Rate)</v>
      </c>
      <c r="B27" t="s">
        <v>36</v>
      </c>
      <c r="C27" t="s">
        <v>125</v>
      </c>
      <c r="F27" s="111">
        <f>IF('Input General'!F377=0, F195*100/1000+F$8+F$9, F195*100/1000+F$9)</f>
        <v>6.795280427654995</v>
      </c>
      <c r="G27" s="111">
        <f>IF('Input General'!G377=0, G195*(1+inflation)*100/1000+G$9+G$8, G195*(1+inflation)*100/1000+G$9)</f>
        <v>6.7777241690633918</v>
      </c>
      <c r="H27" s="111">
        <f>IF('Input General'!H377=0,H195*(1+inflation)^2*100/1000+H$8+H$9,H195*(1+inflation)^2*100/1000+H$9)</f>
        <v>6.7640939481408102</v>
      </c>
    </row>
    <row r="29" spans="1:8" x14ac:dyDescent="0.25">
      <c r="A29" s="38" t="str">
        <f>A197</f>
        <v>United</v>
      </c>
    </row>
    <row r="30" spans="1:8" ht="16.5" x14ac:dyDescent="0.3">
      <c r="A30" t="str">
        <f ca="1">A198</f>
        <v>Calc (LRMC Planning case)</v>
      </c>
      <c r="B30" t="s">
        <v>36</v>
      </c>
      <c r="C30" t="s">
        <v>125</v>
      </c>
      <c r="F30" s="111">
        <f>IF('Input General'!F388=0, F198*100/1000+F$8+F$9, F198*100/1000+F$9)</f>
        <v>7.9836250677747573</v>
      </c>
      <c r="G30" s="111">
        <f>IF('Input General'!G388=0, G198*(1+inflation)*100/1000+G$9+G$8, G198*(1+inflation)*100/1000+G$9)</f>
        <v>8.2705477178424047</v>
      </c>
      <c r="H30" s="111">
        <f>IF('Input General'!H388=0,H198*(1+inflation)^2*100/1000+H$8+H$9,H198*(1+inflation)^2*100/1000+H$9)</f>
        <v>8.6826571064695433</v>
      </c>
    </row>
    <row r="31" spans="1:8" ht="16.5" x14ac:dyDescent="0.3">
      <c r="A31" t="str">
        <f ca="1">A199</f>
        <v>Calc (LRMC Slow Rate)</v>
      </c>
      <c r="B31" t="s">
        <v>36</v>
      </c>
      <c r="C31" t="s">
        <v>125</v>
      </c>
      <c r="F31" s="111">
        <f>IF('Input General'!F388=0, F199*100/1000+F$8+F$9, F199*100/1000+F$9)</f>
        <v>7.5419787922754544</v>
      </c>
      <c r="G31" s="111">
        <f>IF('Input General'!G388=0, G199*(1+inflation)*100/1000+G$9+G$8, G199*(1+inflation)*100/1000+G$9)</f>
        <v>7.9352316265071918</v>
      </c>
      <c r="H31" s="111">
        <f>IF('Input General'!H388=0,H199*(1+inflation)^2*100/1000+H$8+H$9,H199*(1+inflation)^2*100/1000+H$9)</f>
        <v>8.2402613290226885</v>
      </c>
    </row>
    <row r="32" spans="1:8" ht="16.5" x14ac:dyDescent="0.3">
      <c r="A32" t="str">
        <f ca="1">A200</f>
        <v>Calc (Market Planning Case)</v>
      </c>
      <c r="B32" t="s">
        <v>36</v>
      </c>
      <c r="C32" t="s">
        <v>125</v>
      </c>
      <c r="F32" s="111">
        <f>IF('Input General'!F388=0, F200*100/1000+F$8+F$9, F200*100/1000+F$9)</f>
        <v>7.5460053150595163</v>
      </c>
      <c r="G32" s="111">
        <f>IF('Input General'!G388=0, G200*(1+inflation)*100/1000+G$9+G$8, G200*(1+inflation)*100/1000+G$9)</f>
        <v>7.1936589333457048</v>
      </c>
      <c r="H32" s="111">
        <f>IF('Input General'!H388=0,H200*(1+inflation)^2*100/1000+H$8+H$9,H200*(1+inflation)^2*100/1000+H$9)</f>
        <v>7.6672129607833401</v>
      </c>
    </row>
    <row r="33" spans="1:8" ht="16.5" x14ac:dyDescent="0.3">
      <c r="A33" t="str">
        <f ca="1">A201</f>
        <v>Calc (Market Slow Rate)</v>
      </c>
      <c r="B33" t="s">
        <v>36</v>
      </c>
      <c r="C33" t="s">
        <v>125</v>
      </c>
      <c r="F33" s="111">
        <f>IF('Input General'!F388=0, F201*100/1000+F$8+F$9, F201*100/1000+F$9)</f>
        <v>6.9624491856443429</v>
      </c>
      <c r="G33" s="111">
        <f>IF('Input General'!G388=0, G201*(1+inflation)*100/1000+G$9+G$8, G201*(1+inflation)*100/1000+G$9)</f>
        <v>6.9272752924465877</v>
      </c>
      <c r="H33" s="111">
        <f>IF('Input General'!H388=0,H201*(1+inflation)^2*100/1000+H$8+H$9,H201*(1+inflation)^2*100/1000+H$9)</f>
        <v>6.9018576090184434</v>
      </c>
    </row>
    <row r="35" spans="1:8" x14ac:dyDescent="0.25">
      <c r="A35" s="38" t="str">
        <f>A203</f>
        <v>Jemena</v>
      </c>
    </row>
    <row r="36" spans="1:8" ht="16.5" x14ac:dyDescent="0.3">
      <c r="A36" t="str">
        <f ca="1">A204</f>
        <v>Calc (LRMC Planning case)</v>
      </c>
      <c r="B36" t="s">
        <v>36</v>
      </c>
      <c r="C36" t="s">
        <v>125</v>
      </c>
      <c r="F36" s="111">
        <f>IF('Input General'!F399=0, F204*100/1000+F$8+F$9, F204*100/1000+F$9)</f>
        <v>7.8652494723865987</v>
      </c>
      <c r="G36" s="111">
        <f>IF('Input General'!G399=0, G204*(1+inflation)*100/1000+G$9+G$8, G204*(1+inflation)*100/1000+G$9)</f>
        <v>8.1490959756623571</v>
      </c>
      <c r="H36" s="111">
        <f>IF('Input General'!H399=0,H204*(1+inflation)^2*100/1000+H$8+H$9,H204*(1+inflation)^2*100/1000+H$9)</f>
        <v>8.5577844165641039</v>
      </c>
    </row>
    <row r="37" spans="1:8" ht="16.5" x14ac:dyDescent="0.3">
      <c r="A37" t="str">
        <f ca="1">A205</f>
        <v>Calc (LRMC Slow Rate)</v>
      </c>
      <c r="B37" t="s">
        <v>36</v>
      </c>
      <c r="C37" t="s">
        <v>125</v>
      </c>
      <c r="F37" s="111">
        <f>IF('Input General'!F399=0, F205*100/1000+F$8+F$9, F205*100/1000+F$9)</f>
        <v>7.4343104855142119</v>
      </c>
      <c r="G37" s="111">
        <f>IF('Input General'!G399=0, G205*(1+inflation)*100/1000+G$9+G$8, G205*(1+inflation)*100/1000+G$9)</f>
        <v>7.8254476465068032</v>
      </c>
      <c r="H37" s="111">
        <f>IF('Input General'!H399=0,H205*(1+inflation)^2*100/1000+H$8+H$9,H205*(1+inflation)^2*100/1000+H$9)</f>
        <v>8.1274596082898274</v>
      </c>
    </row>
    <row r="38" spans="1:8" ht="16.5" x14ac:dyDescent="0.3">
      <c r="A38" t="str">
        <f ca="1">A206</f>
        <v>Calc (Market Planning Case)</v>
      </c>
      <c r="B38" t="s">
        <v>36</v>
      </c>
      <c r="C38" t="s">
        <v>125</v>
      </c>
      <c r="F38" s="111">
        <f>IF('Input General'!F399=0, F206*100/1000+F$8+F$9, F206*100/1000+F$9)</f>
        <v>7.5630036136612588</v>
      </c>
      <c r="G38" s="111">
        <f>IF('Input General'!G399=0, G206*(1+inflation)*100/1000+G$9+G$8, G206*(1+inflation)*100/1000+G$9)</f>
        <v>7.2068511705674201</v>
      </c>
      <c r="H38" s="111">
        <f>IF('Input General'!H399=0,H206*(1+inflation)^2*100/1000+H$8+H$9,H206*(1+inflation)^2*100/1000+H$9)</f>
        <v>7.6802283234964612</v>
      </c>
    </row>
    <row r="39" spans="1:8" ht="16.5" x14ac:dyDescent="0.3">
      <c r="A39" t="str">
        <f ca="1">A207</f>
        <v>Calc (Market Slow Rate)</v>
      </c>
      <c r="B39" t="s">
        <v>36</v>
      </c>
      <c r="C39" t="s">
        <v>125</v>
      </c>
      <c r="F39" s="111">
        <f>IF('Input General'!F399=0, F207*100/1000+F$8+F$9, F207*100/1000+F$9)</f>
        <v>6.9752579449692824</v>
      </c>
      <c r="G39" s="111">
        <f>IF('Input General'!G399=0, G207*(1+inflation)*100/1000+G$9+G$8, G207*(1+inflation)*100/1000+G$9)</f>
        <v>6.9415582051322042</v>
      </c>
      <c r="H39" s="111">
        <f>IF('Input General'!H399=0,H207*(1+inflation)^2*100/1000+H$8+H$9,H207*(1+inflation)^2*100/1000+H$9)</f>
        <v>6.9134648632711118</v>
      </c>
    </row>
    <row r="41" spans="1:8" x14ac:dyDescent="0.25">
      <c r="A41" s="8" t="str">
        <f>A209</f>
        <v>Carbon costs</v>
      </c>
    </row>
    <row r="43" spans="1:8" x14ac:dyDescent="0.25">
      <c r="A43" s="38" t="str">
        <f>A210</f>
        <v>Citipower</v>
      </c>
    </row>
    <row r="44" spans="1:8" ht="16.5" x14ac:dyDescent="0.3">
      <c r="A44" t="str">
        <f ca="1">A211</f>
        <v>Calc (LRMC Planning case)</v>
      </c>
      <c r="B44" t="s">
        <v>36</v>
      </c>
      <c r="C44" t="s">
        <v>125</v>
      </c>
      <c r="F44" s="111">
        <f>F211*100/1000</f>
        <v>0.95570664841339981</v>
      </c>
      <c r="G44" s="111">
        <f>G211*(1+inflation)*100/1000</f>
        <v>1.0025653750163437</v>
      </c>
      <c r="H44" s="111">
        <f>H211*(1+inflation)^2*100/1000</f>
        <v>1.0530193078987291</v>
      </c>
    </row>
    <row r="45" spans="1:8" ht="16.5" x14ac:dyDescent="0.3">
      <c r="A45" t="str">
        <f ca="1">A212</f>
        <v>Calc (LRMC Slow Rate)</v>
      </c>
      <c r="B45" t="s">
        <v>36</v>
      </c>
      <c r="C45" t="s">
        <v>125</v>
      </c>
      <c r="F45" s="111">
        <f t="shared" ref="F45:F47" si="0">F212*100/1000</f>
        <v>0.95951001236253564</v>
      </c>
      <c r="G45" s="111">
        <f>G212*(1+inflation)*100/1000</f>
        <v>1.0089747391433392</v>
      </c>
      <c r="H45" s="111">
        <f>H212*(1+inflation)^2*100/1000</f>
        <v>1.0590425961217387</v>
      </c>
    </row>
    <row r="46" spans="1:8" ht="16.5" x14ac:dyDescent="0.3">
      <c r="A46" t="str">
        <f ca="1">A213</f>
        <v>Calc (Market Planning Case)</v>
      </c>
      <c r="B46" t="s">
        <v>36</v>
      </c>
      <c r="C46" t="s">
        <v>125</v>
      </c>
      <c r="F46" s="111">
        <f t="shared" si="0"/>
        <v>3.0652733883810068</v>
      </c>
      <c r="G46" s="111">
        <f>G213*(1+inflation)*100/1000</f>
        <v>3.429802318394878</v>
      </c>
      <c r="H46" s="111">
        <f>H213*(1+inflation)^2*100/1000</f>
        <v>3.3535152681965883</v>
      </c>
    </row>
    <row r="47" spans="1:8" ht="16.5" x14ac:dyDescent="0.3">
      <c r="A47" t="str">
        <f ca="1">A214</f>
        <v>Calc (Market Slow Rate)</v>
      </c>
      <c r="B47" t="s">
        <v>36</v>
      </c>
      <c r="C47" t="s">
        <v>125</v>
      </c>
      <c r="F47" s="111">
        <f t="shared" si="0"/>
        <v>3.0964227808561948</v>
      </c>
      <c r="G47" s="111">
        <f>G214*(1+inflation)*100/1000</f>
        <v>3.6692250626780276</v>
      </c>
      <c r="H47" s="111">
        <f>H214*(1+inflation)^2*100/1000</f>
        <v>3.4412340718581325</v>
      </c>
    </row>
    <row r="49" spans="1:8" x14ac:dyDescent="0.25">
      <c r="A49" s="38" t="str">
        <f>A216</f>
        <v>Powercor</v>
      </c>
    </row>
    <row r="50" spans="1:8" ht="16.5" x14ac:dyDescent="0.3">
      <c r="A50" t="str">
        <f ca="1">A217</f>
        <v>Calc (LRMC Planning case)</v>
      </c>
      <c r="B50" t="s">
        <v>36</v>
      </c>
      <c r="C50" t="s">
        <v>125</v>
      </c>
      <c r="F50" s="111">
        <f>F217*100/1000</f>
        <v>0.95470253460368615</v>
      </c>
      <c r="G50" s="111">
        <f>G217*(1+inflation)*100/1000</f>
        <v>1.0016726055040348</v>
      </c>
      <c r="H50" s="111">
        <f>H217*(1+inflation)^2*100/1000</f>
        <v>1.1056197871425764</v>
      </c>
    </row>
    <row r="51" spans="1:8" ht="16.5" x14ac:dyDescent="0.3">
      <c r="A51" t="str">
        <f ca="1">A218</f>
        <v>Calc (LRMC Slow Rate)</v>
      </c>
      <c r="B51" t="s">
        <v>36</v>
      </c>
      <c r="C51" t="s">
        <v>125</v>
      </c>
      <c r="F51" s="111">
        <f t="shared" ref="F51:F53" si="1">F218*100/1000</f>
        <v>0.95768578484674116</v>
      </c>
      <c r="G51" s="111">
        <f>G218*(1+inflation)*100/1000</f>
        <v>1.0067414387019011</v>
      </c>
      <c r="H51" s="111">
        <f>H218*(1+inflation)^2*100/1000</f>
        <v>1.0571433570379336</v>
      </c>
    </row>
    <row r="52" spans="1:8" ht="16.5" x14ac:dyDescent="0.3">
      <c r="A52" t="str">
        <f ca="1">A219</f>
        <v>Calc (Market Planning Case)</v>
      </c>
      <c r="B52" t="s">
        <v>36</v>
      </c>
      <c r="C52" t="s">
        <v>125</v>
      </c>
      <c r="F52" s="111">
        <f t="shared" si="1"/>
        <v>2.9599421323759971</v>
      </c>
      <c r="G52" s="111">
        <f>G219*(1+inflation)*100/1000</f>
        <v>3.3331606536624983</v>
      </c>
      <c r="H52" s="111">
        <f>H219*(1+inflation)^2*100/1000</f>
        <v>3.276889557653567</v>
      </c>
    </row>
    <row r="53" spans="1:8" ht="16.5" x14ac:dyDescent="0.3">
      <c r="A53" t="str">
        <f ca="1">A220</f>
        <v>Calc (Market Slow Rate)</v>
      </c>
      <c r="B53" t="s">
        <v>36</v>
      </c>
      <c r="C53" t="s">
        <v>125</v>
      </c>
      <c r="F53" s="111">
        <f t="shared" si="1"/>
        <v>3.0557463214503273</v>
      </c>
      <c r="G53" s="111">
        <f>G220*(1+inflation)*100/1000</f>
        <v>3.6124044434413856</v>
      </c>
      <c r="H53" s="111">
        <f>H220*(1+inflation)^2*100/1000</f>
        <v>3.4231708737137616</v>
      </c>
    </row>
    <row r="55" spans="1:8" x14ac:dyDescent="0.25">
      <c r="A55" s="38" t="str">
        <f>A222</f>
        <v>SP Ausnet</v>
      </c>
    </row>
    <row r="56" spans="1:8" ht="16.5" x14ac:dyDescent="0.3">
      <c r="A56" t="str">
        <f ca="1">A223</f>
        <v>Calc (LRMC Planning case)</v>
      </c>
      <c r="B56" t="s">
        <v>36</v>
      </c>
      <c r="C56" t="s">
        <v>125</v>
      </c>
      <c r="F56" s="111">
        <f>F223*100/1000</f>
        <v>0.9572922839326139</v>
      </c>
      <c r="G56" s="111">
        <f>G223*(1+inflation)*100/1000</f>
        <v>1.0043588872171818</v>
      </c>
      <c r="H56" s="111">
        <f>H223*(1+inflation)^2*100/1000</f>
        <v>1.0550777463328056</v>
      </c>
    </row>
    <row r="57" spans="1:8" ht="16.5" x14ac:dyDescent="0.3">
      <c r="A57" t="str">
        <f ca="1">A224</f>
        <v>Calc (LRMC Slow Rate)</v>
      </c>
      <c r="B57" t="s">
        <v>36</v>
      </c>
      <c r="C57" t="s">
        <v>125</v>
      </c>
      <c r="F57" s="111">
        <f t="shared" ref="F57:F59" si="2">F224*100/1000</f>
        <v>0.96047010439662517</v>
      </c>
      <c r="G57" s="111">
        <f>G224*(1+inflation)*100/1000</f>
        <v>1.0349205781596333</v>
      </c>
      <c r="H57" s="111">
        <f>H224*(1+inflation)^2*100/1000</f>
        <v>1.0601962357744492</v>
      </c>
    </row>
    <row r="58" spans="1:8" ht="16.5" x14ac:dyDescent="0.3">
      <c r="A58" t="str">
        <f ca="1">A225</f>
        <v>Calc (Market Planning Case)</v>
      </c>
      <c r="B58" t="s">
        <v>36</v>
      </c>
      <c r="C58" t="s">
        <v>125</v>
      </c>
      <c r="F58" s="111">
        <f t="shared" si="2"/>
        <v>3.1472481426655259</v>
      </c>
      <c r="G58" s="111">
        <f>G225*(1+inflation)*100/1000</f>
        <v>3.4984414465729183</v>
      </c>
      <c r="H58" s="111">
        <f>H225*(1+inflation)^2*100/1000</f>
        <v>3.4496611670627217</v>
      </c>
    </row>
    <row r="59" spans="1:8" ht="16.5" x14ac:dyDescent="0.3">
      <c r="A59" t="str">
        <f ca="1">A226</f>
        <v>Calc (Market Slow Rate)</v>
      </c>
      <c r="B59" t="s">
        <v>36</v>
      </c>
      <c r="C59" t="s">
        <v>125</v>
      </c>
      <c r="F59" s="111">
        <f t="shared" si="2"/>
        <v>3.0945227179329655</v>
      </c>
      <c r="G59" s="111">
        <f>G226*(1+inflation)*100/1000</f>
        <v>3.6548035025604348</v>
      </c>
      <c r="H59" s="111">
        <f>H226*(1+inflation)^2*100/1000</f>
        <v>3.4528625947866729</v>
      </c>
    </row>
    <row r="61" spans="1:8" x14ac:dyDescent="0.25">
      <c r="A61" s="38" t="str">
        <f>A228</f>
        <v>United</v>
      </c>
    </row>
    <row r="62" spans="1:8" ht="16.5" x14ac:dyDescent="0.3">
      <c r="A62" t="str">
        <f ca="1">A229</f>
        <v>Calc (LRMC Planning case)</v>
      </c>
      <c r="B62" t="s">
        <v>36</v>
      </c>
      <c r="C62" t="s">
        <v>125</v>
      </c>
      <c r="F62" s="111">
        <f>F229*100/1000</f>
        <v>0.9593876240214001</v>
      </c>
      <c r="G62" s="111">
        <f>G229*(1+inflation)*100/1000</f>
        <v>1.0063994663789664</v>
      </c>
      <c r="H62" s="111">
        <f>H229*(1+inflation)^2*100/1000</f>
        <v>1.0569826350432161</v>
      </c>
    </row>
    <row r="63" spans="1:8" ht="16.5" x14ac:dyDescent="0.3">
      <c r="A63" t="str">
        <f ca="1">A230</f>
        <v>Calc (LRMC Slow Rate)</v>
      </c>
      <c r="B63" t="s">
        <v>36</v>
      </c>
      <c r="C63" t="s">
        <v>125</v>
      </c>
      <c r="F63" s="111">
        <f t="shared" ref="F63:F65" si="3">F230*100/1000</f>
        <v>0.96319767952054181</v>
      </c>
      <c r="G63" s="111">
        <f>G230*(1+inflation)*100/1000</f>
        <v>1.0128287773068838</v>
      </c>
      <c r="H63" s="111">
        <f>H230*(1+inflation)^2*100/1000</f>
        <v>1.0631123603110513</v>
      </c>
    </row>
    <row r="64" spans="1:8" ht="16.5" x14ac:dyDescent="0.3">
      <c r="A64" t="str">
        <f ca="1">A231</f>
        <v>Calc (Market Planning Case)</v>
      </c>
      <c r="B64" t="s">
        <v>36</v>
      </c>
      <c r="C64" t="s">
        <v>125</v>
      </c>
      <c r="F64" s="111">
        <f t="shared" si="3"/>
        <v>3.1286226795850616</v>
      </c>
      <c r="G64" s="111">
        <f>G231*(1+inflation)*100/1000</f>
        <v>3.5054422939073198</v>
      </c>
      <c r="H64" s="111">
        <f>H231*(1+inflation)^2*100/1000</f>
        <v>3.4263000419165528</v>
      </c>
    </row>
    <row r="65" spans="1:8" ht="16.5" x14ac:dyDescent="0.3">
      <c r="A65" t="str">
        <f ca="1">A232</f>
        <v>Calc (Market Slow Rate)</v>
      </c>
      <c r="B65" t="s">
        <v>36</v>
      </c>
      <c r="C65" t="s">
        <v>125</v>
      </c>
      <c r="F65" s="111">
        <f t="shared" si="3"/>
        <v>3.1569569103678745</v>
      </c>
      <c r="G65" s="111">
        <f>G232*(1+inflation)*100/1000</f>
        <v>3.7412982257446359</v>
      </c>
      <c r="H65" s="111">
        <f>H232*(1+inflation)^2*100/1000</f>
        <v>3.5171946367946649</v>
      </c>
    </row>
    <row r="67" spans="1:8" x14ac:dyDescent="0.25">
      <c r="A67" s="38" t="str">
        <f>A234</f>
        <v>Jemena</v>
      </c>
    </row>
    <row r="68" spans="1:8" ht="16.5" x14ac:dyDescent="0.3">
      <c r="A68" t="str">
        <f ca="1">A235</f>
        <v>Calc (LRMC Planning case)</v>
      </c>
      <c r="B68" t="s">
        <v>36</v>
      </c>
      <c r="C68" t="s">
        <v>125</v>
      </c>
      <c r="F68" s="111">
        <f>F235*100/1000</f>
        <v>0.95876714180976985</v>
      </c>
      <c r="G68" s="111">
        <f>G235*(1+inflation)*100/1000</f>
        <v>1.0057203591192434</v>
      </c>
      <c r="H68" s="111">
        <f>H235*(1+inflation)^2*100/1000</f>
        <v>1.056167279469737</v>
      </c>
    </row>
    <row r="69" spans="1:8" ht="16.5" x14ac:dyDescent="0.3">
      <c r="A69" t="str">
        <f ca="1">A236</f>
        <v>Calc (LRMC Slow Rate)</v>
      </c>
      <c r="B69" t="s">
        <v>36</v>
      </c>
      <c r="C69" t="s">
        <v>125</v>
      </c>
      <c r="F69" s="111">
        <f t="shared" ref="F69:F71" si="4">F236*100/1000</f>
        <v>0.96271063707553572</v>
      </c>
      <c r="G69" s="111">
        <f>G236*(1+inflation)*100/1000</f>
        <v>1.0123055260222371</v>
      </c>
      <c r="H69" s="111">
        <f>H236*(1+inflation)^2*100/1000</f>
        <v>1.0625580170152868</v>
      </c>
    </row>
    <row r="70" spans="1:8" ht="16.5" x14ac:dyDescent="0.3">
      <c r="A70" t="str">
        <f ca="1">A237</f>
        <v>Calc (Market Planning Case)</v>
      </c>
      <c r="B70" t="s">
        <v>36</v>
      </c>
      <c r="C70" t="s">
        <v>125</v>
      </c>
      <c r="F70" s="111">
        <f t="shared" si="4"/>
        <v>3.2849932744801311</v>
      </c>
      <c r="G70" s="111">
        <f>G237*(1+inflation)*100/1000</f>
        <v>4.022007466311651</v>
      </c>
      <c r="H70" s="111">
        <f>H237*(1+inflation)^2*100/1000</f>
        <v>4.2643451702863544</v>
      </c>
    </row>
    <row r="71" spans="1:8" ht="16.5" x14ac:dyDescent="0.3">
      <c r="A71" t="str">
        <f ca="1">A238</f>
        <v>Calc (Market Slow Rate)</v>
      </c>
      <c r="B71" t="s">
        <v>36</v>
      </c>
      <c r="C71" t="s">
        <v>125</v>
      </c>
      <c r="F71" s="111">
        <f t="shared" si="4"/>
        <v>3.1636030875514125</v>
      </c>
      <c r="G71" s="111">
        <f>G238*(1+inflation)*100/1000</f>
        <v>3.7519017835200592</v>
      </c>
      <c r="H71" s="111">
        <f>H238*(1+inflation)^2*100/1000</f>
        <v>3.5250864066045069</v>
      </c>
    </row>
    <row r="73" spans="1:8" x14ac:dyDescent="0.25">
      <c r="A73" s="8" t="str">
        <f t="shared" ref="A73:A78" si="5">A240</f>
        <v>LRET</v>
      </c>
    </row>
    <row r="74" spans="1:8" x14ac:dyDescent="0.25">
      <c r="A74" s="38" t="str">
        <f t="shared" si="5"/>
        <v>Citipower</v>
      </c>
    </row>
    <row r="75" spans="1:8" ht="16.5" x14ac:dyDescent="0.3">
      <c r="A75" t="str">
        <f t="shared" ca="1" si="5"/>
        <v>Calc (LRMC Planning case)</v>
      </c>
      <c r="B75" t="s">
        <v>36</v>
      </c>
      <c r="C75" t="s">
        <v>125</v>
      </c>
      <c r="F75" s="111">
        <f>F242*100/1000</f>
        <v>0.40127635803244016</v>
      </c>
      <c r="G75" s="111">
        <f>G242*(1+inflation)*100/1000</f>
        <v>0.42999030545480255</v>
      </c>
      <c r="H75" s="111">
        <f>H242*(1+inflation)^2*100/1000</f>
        <v>0.45534105602394781</v>
      </c>
    </row>
    <row r="76" spans="1:8" ht="16.5" x14ac:dyDescent="0.3">
      <c r="A76" t="str">
        <f t="shared" ca="1" si="5"/>
        <v>Calc (LRMC Slow Rate)</v>
      </c>
      <c r="B76" t="s">
        <v>36</v>
      </c>
      <c r="C76" t="s">
        <v>125</v>
      </c>
      <c r="F76" s="111">
        <f t="shared" ref="F76:F78" si="6">F243*100/1000</f>
        <v>0.70246621356844297</v>
      </c>
      <c r="G76" s="111">
        <f>G243*(1+inflation)*100/1000</f>
        <v>0.75273229125930963</v>
      </c>
      <c r="H76" s="111">
        <f>H243*(1+inflation)^2*100/1000</f>
        <v>0.79711067981446027</v>
      </c>
    </row>
    <row r="77" spans="1:8" ht="16.5" x14ac:dyDescent="0.3">
      <c r="A77" t="str">
        <f t="shared" ca="1" si="5"/>
        <v>Calc (Market Planning Case)</v>
      </c>
      <c r="B77" t="s">
        <v>36</v>
      </c>
      <c r="C77" t="s">
        <v>125</v>
      </c>
      <c r="F77" s="111">
        <f t="shared" si="6"/>
        <v>0.40127635803244016</v>
      </c>
      <c r="G77" s="111">
        <f>G244*(1+inflation)*100/1000</f>
        <v>0.42999030545480255</v>
      </c>
      <c r="H77" s="111">
        <f>H244*(1+inflation)^2*100/1000</f>
        <v>0.45534105602394781</v>
      </c>
    </row>
    <row r="78" spans="1:8" ht="16.5" x14ac:dyDescent="0.3">
      <c r="A78" t="str">
        <f t="shared" ca="1" si="5"/>
        <v>Calc (Market Slow Rate)</v>
      </c>
      <c r="B78" t="s">
        <v>36</v>
      </c>
      <c r="C78" t="s">
        <v>125</v>
      </c>
      <c r="F78" s="111">
        <f t="shared" si="6"/>
        <v>0.70246621356844297</v>
      </c>
      <c r="G78" s="111">
        <f>G245*(1+inflation)*100/1000</f>
        <v>0.75273229125930963</v>
      </c>
      <c r="H78" s="111">
        <f>H245*(1+inflation)^2*100/1000</f>
        <v>0.79711067981446027</v>
      </c>
    </row>
    <row r="80" spans="1:8" x14ac:dyDescent="0.25">
      <c r="A80" s="38" t="str">
        <f>A247</f>
        <v>Powercor</v>
      </c>
    </row>
    <row r="81" spans="1:8" ht="16.5" x14ac:dyDescent="0.3">
      <c r="A81" t="str">
        <f ca="1">A248</f>
        <v>Calc (LRMC Planning case)</v>
      </c>
      <c r="B81" t="s">
        <v>36</v>
      </c>
      <c r="C81" t="s">
        <v>125</v>
      </c>
      <c r="F81" s="111">
        <f>F248*100/1000</f>
        <v>0.40127635803244016</v>
      </c>
      <c r="G81" s="111">
        <f>G248*(1+inflation)*100/1000</f>
        <v>0.42999030545480255</v>
      </c>
      <c r="H81" s="111">
        <f>H248*(1+inflation)^2*100/1000</f>
        <v>0.45534105602394781</v>
      </c>
    </row>
    <row r="82" spans="1:8" ht="16.5" x14ac:dyDescent="0.3">
      <c r="A82" t="str">
        <f ca="1">A249</f>
        <v>Calc (LRMC Slow Rate)</v>
      </c>
      <c r="B82" t="s">
        <v>36</v>
      </c>
      <c r="C82" t="s">
        <v>125</v>
      </c>
      <c r="F82" s="111">
        <f t="shared" ref="F82:F84" si="7">F249*100/1000</f>
        <v>0.7024662135684433</v>
      </c>
      <c r="G82" s="111">
        <f>G249*(1+inflation)*100/1000</f>
        <v>0.75273229125930963</v>
      </c>
      <c r="H82" s="111">
        <f>H249*(1+inflation)^2*100/1000</f>
        <v>0.79711067981446027</v>
      </c>
    </row>
    <row r="83" spans="1:8" ht="16.5" x14ac:dyDescent="0.3">
      <c r="A83" t="str">
        <f ca="1">A250</f>
        <v>Calc (Market Planning Case)</v>
      </c>
      <c r="B83" t="s">
        <v>36</v>
      </c>
      <c r="C83" t="s">
        <v>125</v>
      </c>
      <c r="F83" s="111">
        <f t="shared" si="7"/>
        <v>0.40127635803244016</v>
      </c>
      <c r="G83" s="111">
        <f>G250*(1+inflation)*100/1000</f>
        <v>0.42999030545480255</v>
      </c>
      <c r="H83" s="111">
        <f>H250*(1+inflation)^2*100/1000</f>
        <v>0.45534105602394781</v>
      </c>
    </row>
    <row r="84" spans="1:8" ht="16.5" x14ac:dyDescent="0.3">
      <c r="A84" t="str">
        <f ca="1">A251</f>
        <v>Calc (Market Slow Rate)</v>
      </c>
      <c r="B84" t="s">
        <v>36</v>
      </c>
      <c r="C84" t="s">
        <v>125</v>
      </c>
      <c r="F84" s="111">
        <f t="shared" si="7"/>
        <v>0.7024662135684433</v>
      </c>
      <c r="G84" s="111">
        <f>G251*(1+inflation)*100/1000</f>
        <v>0.75273229125930963</v>
      </c>
      <c r="H84" s="111">
        <f>H251*(1+inflation)^2*100/1000</f>
        <v>0.79711067981446027</v>
      </c>
    </row>
    <row r="86" spans="1:8" x14ac:dyDescent="0.25">
      <c r="A86" s="38" t="str">
        <f>A253</f>
        <v>SP Ausnet</v>
      </c>
    </row>
    <row r="87" spans="1:8" ht="16.5" x14ac:dyDescent="0.3">
      <c r="A87" t="str">
        <f ca="1">A254</f>
        <v>Calc (LRMC Planning case)</v>
      </c>
      <c r="B87" t="s">
        <v>36</v>
      </c>
      <c r="C87" t="s">
        <v>125</v>
      </c>
      <c r="F87" s="111">
        <f>F254*100/1000</f>
        <v>0.40127635803244016</v>
      </c>
      <c r="G87" s="111">
        <f>G254*(1+inflation)*100/1000</f>
        <v>0.42999030545480255</v>
      </c>
      <c r="H87" s="111">
        <f>H254*(1+inflation)^2*100/1000</f>
        <v>0.45534105602394781</v>
      </c>
    </row>
    <row r="88" spans="1:8" ht="16.5" x14ac:dyDescent="0.3">
      <c r="A88" t="str">
        <f ca="1">A255</f>
        <v>Calc (LRMC Slow Rate)</v>
      </c>
      <c r="B88" t="s">
        <v>36</v>
      </c>
      <c r="C88" t="s">
        <v>125</v>
      </c>
      <c r="F88" s="111">
        <f t="shared" ref="F88:F90" si="8">F255*100/1000</f>
        <v>0.7024662135684433</v>
      </c>
      <c r="G88" s="111">
        <f>G255*(1+inflation)*100/1000</f>
        <v>0.77155059854079233</v>
      </c>
      <c r="H88" s="111">
        <f>H255*(1+inflation)^2*100/1000</f>
        <v>0.79711067981446027</v>
      </c>
    </row>
    <row r="89" spans="1:8" ht="16.5" x14ac:dyDescent="0.3">
      <c r="A89" t="str">
        <f ca="1">A256</f>
        <v>Calc (Market Planning Case)</v>
      </c>
      <c r="B89" t="s">
        <v>36</v>
      </c>
      <c r="C89" t="s">
        <v>125</v>
      </c>
      <c r="F89" s="111">
        <f t="shared" si="8"/>
        <v>0.40127635803244016</v>
      </c>
      <c r="G89" s="111">
        <f>G256*(1+inflation)*100/1000</f>
        <v>0.42999030545480255</v>
      </c>
      <c r="H89" s="111">
        <f>H256*(1+inflation)^2*100/1000</f>
        <v>0.45534105602394781</v>
      </c>
    </row>
    <row r="90" spans="1:8" ht="16.5" x14ac:dyDescent="0.3">
      <c r="A90" t="str">
        <f ca="1">A257</f>
        <v>Calc (Market Slow Rate)</v>
      </c>
      <c r="B90" t="s">
        <v>36</v>
      </c>
      <c r="C90" t="s">
        <v>125</v>
      </c>
      <c r="F90" s="111">
        <f t="shared" si="8"/>
        <v>0.7024662135684433</v>
      </c>
      <c r="G90" s="111">
        <f>G257*(1+inflation)*100/1000</f>
        <v>0.77155059854079233</v>
      </c>
      <c r="H90" s="111">
        <f>H257*(1+inflation)^2*100/1000</f>
        <v>0.79711067981446027</v>
      </c>
    </row>
    <row r="92" spans="1:8" x14ac:dyDescent="0.25">
      <c r="A92" s="38" t="str">
        <f>A259</f>
        <v>United</v>
      </c>
    </row>
    <row r="93" spans="1:8" ht="16.5" x14ac:dyDescent="0.3">
      <c r="A93" t="str">
        <f ca="1">A260</f>
        <v>Calc (LRMC Planning case)</v>
      </c>
      <c r="B93" t="s">
        <v>36</v>
      </c>
      <c r="C93" t="s">
        <v>125</v>
      </c>
      <c r="F93" s="111">
        <f>F260*100/1000</f>
        <v>0.40127635803244016</v>
      </c>
      <c r="G93" s="111">
        <f>G260*(1+inflation)*100/1000</f>
        <v>0.42999030545480255</v>
      </c>
      <c r="H93" s="111">
        <f>H260*(1+inflation)^2*100/1000</f>
        <v>0.45534105602394781</v>
      </c>
    </row>
    <row r="94" spans="1:8" ht="16.5" x14ac:dyDescent="0.3">
      <c r="A94" t="str">
        <f ca="1">A261</f>
        <v>Calc (LRMC Slow Rate)</v>
      </c>
      <c r="B94" t="s">
        <v>36</v>
      </c>
      <c r="C94" t="s">
        <v>125</v>
      </c>
      <c r="F94" s="111">
        <f t="shared" ref="F94:F96" si="9">F261*100/1000</f>
        <v>0.7024662135684433</v>
      </c>
      <c r="G94" s="111">
        <f>G261*(1+inflation)*100/1000</f>
        <v>0.75273229125930963</v>
      </c>
      <c r="H94" s="111">
        <f>H261*(1+inflation)^2*100/1000</f>
        <v>0.79711067981446027</v>
      </c>
    </row>
    <row r="95" spans="1:8" ht="16.5" x14ac:dyDescent="0.3">
      <c r="A95" t="str">
        <f ca="1">A262</f>
        <v>Calc (Market Planning Case)</v>
      </c>
      <c r="B95" t="s">
        <v>36</v>
      </c>
      <c r="C95" t="s">
        <v>125</v>
      </c>
      <c r="F95" s="111">
        <f t="shared" si="9"/>
        <v>0.40127635803244016</v>
      </c>
      <c r="G95" s="111">
        <f>G262*(1+inflation)*100/1000</f>
        <v>0.42999030545480255</v>
      </c>
      <c r="H95" s="111">
        <f>H262*(1+inflation)^2*100/1000</f>
        <v>0.45534105602394781</v>
      </c>
    </row>
    <row r="96" spans="1:8" ht="16.5" x14ac:dyDescent="0.3">
      <c r="A96" t="str">
        <f ca="1">A263</f>
        <v>Calc (Market Slow Rate)</v>
      </c>
      <c r="B96" t="s">
        <v>36</v>
      </c>
      <c r="C96" t="s">
        <v>125</v>
      </c>
      <c r="F96" s="111">
        <f t="shared" si="9"/>
        <v>0.7024662135684433</v>
      </c>
      <c r="G96" s="111">
        <f>G263*(1+inflation)*100/1000</f>
        <v>0.75273229125930963</v>
      </c>
      <c r="H96" s="111">
        <f>H263*(1+inflation)^2*100/1000</f>
        <v>0.79711067981446027</v>
      </c>
    </row>
    <row r="98" spans="1:8" x14ac:dyDescent="0.25">
      <c r="A98" s="38" t="str">
        <f>A265</f>
        <v>Jemena</v>
      </c>
    </row>
    <row r="99" spans="1:8" ht="16.5" x14ac:dyDescent="0.3">
      <c r="A99" t="str">
        <f ca="1">A266</f>
        <v>Calc (LRMC Planning case)</v>
      </c>
      <c r="B99" t="s">
        <v>36</v>
      </c>
      <c r="C99" t="s">
        <v>125</v>
      </c>
      <c r="F99" s="111">
        <f>F266*100/1000</f>
        <v>0.40127635803244016</v>
      </c>
      <c r="G99" s="111">
        <f>G266*(1+inflation)*100/1000</f>
        <v>0.42999030545480255</v>
      </c>
      <c r="H99" s="111">
        <f>H266*(1+inflation)^2*100/1000</f>
        <v>0.45534105602394781</v>
      </c>
    </row>
    <row r="100" spans="1:8" ht="16.5" x14ac:dyDescent="0.3">
      <c r="A100" t="str">
        <f ca="1">A267</f>
        <v>Calc (LRMC Slow Rate)</v>
      </c>
      <c r="B100" t="s">
        <v>36</v>
      </c>
      <c r="C100" t="s">
        <v>125</v>
      </c>
      <c r="F100" s="111">
        <f t="shared" ref="F100:F102" si="10">F267*100/1000</f>
        <v>0.7024662135684433</v>
      </c>
      <c r="G100" s="111">
        <f>G267*(1+inflation)*100/1000</f>
        <v>0.75273229125930963</v>
      </c>
      <c r="H100" s="111">
        <f>H267*(1+inflation)^2*100/1000</f>
        <v>0.79711067981446027</v>
      </c>
    </row>
    <row r="101" spans="1:8" ht="16.5" x14ac:dyDescent="0.3">
      <c r="A101" t="str">
        <f ca="1">A268</f>
        <v>Calc (Market Planning Case)</v>
      </c>
      <c r="B101" t="s">
        <v>36</v>
      </c>
      <c r="C101" t="s">
        <v>125</v>
      </c>
      <c r="F101" s="111">
        <f t="shared" si="10"/>
        <v>0.40127635803244016</v>
      </c>
      <c r="G101" s="111">
        <f>G268*(1+inflation)*100/1000</f>
        <v>0.42999030545480255</v>
      </c>
      <c r="H101" s="111">
        <f>H268*(1+inflation)^2*100/1000</f>
        <v>0.45534105602394781</v>
      </c>
    </row>
    <row r="102" spans="1:8" ht="16.5" x14ac:dyDescent="0.3">
      <c r="A102" t="str">
        <f ca="1">A269</f>
        <v>Calc (Market Slow Rate)</v>
      </c>
      <c r="B102" t="s">
        <v>36</v>
      </c>
      <c r="C102" t="s">
        <v>125</v>
      </c>
      <c r="F102" s="111">
        <f t="shared" si="10"/>
        <v>0.7024662135684433</v>
      </c>
      <c r="G102" s="111">
        <f>G269*(1+inflation)*100/1000</f>
        <v>0.75273229125930963</v>
      </c>
      <c r="H102" s="111">
        <f>H269*(1+inflation)^2*100/1000</f>
        <v>0.79711067981446027</v>
      </c>
    </row>
    <row r="104" spans="1:8" x14ac:dyDescent="0.25">
      <c r="A104" s="8" t="str">
        <f t="shared" ref="A104:A109" si="11">A271</f>
        <v>SRES</v>
      </c>
    </row>
    <row r="105" spans="1:8" ht="16.5" x14ac:dyDescent="0.3">
      <c r="A105" t="str">
        <f t="shared" si="11"/>
        <v>Citipower</v>
      </c>
      <c r="B105" t="s">
        <v>36</v>
      </c>
      <c r="C105" t="s">
        <v>125</v>
      </c>
      <c r="F105" s="111">
        <f>F272*100/1000</f>
        <v>0.63653287037799233</v>
      </c>
      <c r="G105" s="111">
        <f>G272*(1+inflation)*100/1000</f>
        <v>0.28015427900022027</v>
      </c>
      <c r="H105" s="111">
        <f>H272*(1+inflation)^2*100/1000</f>
        <v>0.24343890340474952</v>
      </c>
    </row>
    <row r="106" spans="1:8" ht="16.5" x14ac:dyDescent="0.3">
      <c r="A106" t="str">
        <f t="shared" si="11"/>
        <v>Powercor</v>
      </c>
      <c r="B106" t="s">
        <v>36</v>
      </c>
      <c r="C106" t="s">
        <v>125</v>
      </c>
      <c r="F106" s="111">
        <f>F273*100/1000</f>
        <v>0.63653287037799233</v>
      </c>
      <c r="G106" s="111">
        <f>G273*(1+inflation)*100/1000</f>
        <v>0.28015427900021983</v>
      </c>
      <c r="H106" s="111">
        <f>H273*(1+inflation)^2*100/1000</f>
        <v>0.24343890340474944</v>
      </c>
    </row>
    <row r="107" spans="1:8" ht="16.5" x14ac:dyDescent="0.3">
      <c r="A107" t="str">
        <f t="shared" si="11"/>
        <v>SP Ausnet</v>
      </c>
      <c r="B107" t="s">
        <v>36</v>
      </c>
      <c r="C107" t="s">
        <v>125</v>
      </c>
      <c r="F107" s="111">
        <f t="shared" ref="F107:F109" si="12">F274*100/1000</f>
        <v>0.63653287037799233</v>
      </c>
      <c r="G107" s="111">
        <f>G274*(1+inflation)*100/1000</f>
        <v>0.28015427900021983</v>
      </c>
      <c r="H107" s="111">
        <f>H274*(1+inflation)^2*100/1000</f>
        <v>0.24343890340474944</v>
      </c>
    </row>
    <row r="108" spans="1:8" ht="16.5" x14ac:dyDescent="0.3">
      <c r="A108" t="str">
        <f t="shared" si="11"/>
        <v>United</v>
      </c>
      <c r="B108" t="s">
        <v>36</v>
      </c>
      <c r="C108" t="s">
        <v>125</v>
      </c>
      <c r="F108" s="111">
        <f t="shared" si="12"/>
        <v>0.63653287037799233</v>
      </c>
      <c r="G108" s="111">
        <f>G275*(1+inflation)*100/1000</f>
        <v>0.28015427900021983</v>
      </c>
      <c r="H108" s="111">
        <f>H275*(1+inflation)^2*100/1000</f>
        <v>0.24343890340474944</v>
      </c>
    </row>
    <row r="109" spans="1:8" ht="16.5" x14ac:dyDescent="0.3">
      <c r="A109" t="str">
        <f t="shared" si="11"/>
        <v>Jemena</v>
      </c>
      <c r="B109" t="s">
        <v>36</v>
      </c>
      <c r="C109" t="s">
        <v>125</v>
      </c>
      <c r="F109" s="111">
        <f t="shared" si="12"/>
        <v>0.63653287037799233</v>
      </c>
      <c r="G109" s="111">
        <f>G276*(1+inflation)*100/1000</f>
        <v>0.28015427900021983</v>
      </c>
      <c r="H109" s="111">
        <f>H276*(1+inflation)^2*100/1000</f>
        <v>0.24343890340474944</v>
      </c>
    </row>
    <row r="111" spans="1:8" x14ac:dyDescent="0.25">
      <c r="A111" s="8" t="str">
        <f t="shared" ref="A111:A116" si="13">A278</f>
        <v>Energy Saver Incentive</v>
      </c>
    </row>
    <row r="112" spans="1:8" x14ac:dyDescent="0.25">
      <c r="A112" s="38" t="str">
        <f t="shared" si="13"/>
        <v>Citipower</v>
      </c>
    </row>
    <row r="113" spans="1:8" ht="16.5" x14ac:dyDescent="0.3">
      <c r="A113" t="str">
        <f t="shared" ca="1" si="13"/>
        <v>Calc (LRMC Planning case)</v>
      </c>
      <c r="B113" t="s">
        <v>36</v>
      </c>
      <c r="C113" t="s">
        <v>125</v>
      </c>
      <c r="F113" s="111">
        <f t="shared" ref="F113:F116" si="14">F280*100/1000</f>
        <v>0</v>
      </c>
      <c r="G113" s="111">
        <f>G280*(1+inflation)*100/1000</f>
        <v>0</v>
      </c>
      <c r="H113" s="111">
        <f>H280*(1+inflation)^2*100/1000</f>
        <v>0</v>
      </c>
    </row>
    <row r="114" spans="1:8" ht="16.5" x14ac:dyDescent="0.3">
      <c r="A114" t="str">
        <f t="shared" ca="1" si="13"/>
        <v>Calc (LRMC Slow Rate)</v>
      </c>
      <c r="B114" t="s">
        <v>36</v>
      </c>
      <c r="C114" t="s">
        <v>125</v>
      </c>
      <c r="F114" s="111">
        <f t="shared" si="14"/>
        <v>0</v>
      </c>
      <c r="G114" s="111">
        <f>G281*(1+inflation)*100/1000</f>
        <v>0</v>
      </c>
      <c r="H114" s="111">
        <f>H281*(1+inflation)^2*100/1000</f>
        <v>0</v>
      </c>
    </row>
    <row r="115" spans="1:8" ht="16.5" x14ac:dyDescent="0.3">
      <c r="A115" t="str">
        <f t="shared" ca="1" si="13"/>
        <v>Calc (Market Planning Case)</v>
      </c>
      <c r="B115" t="s">
        <v>36</v>
      </c>
      <c r="C115" t="s">
        <v>125</v>
      </c>
      <c r="F115" s="111">
        <f t="shared" si="14"/>
        <v>0</v>
      </c>
      <c r="G115" s="111">
        <f>G282*(1+inflation)*100/1000</f>
        <v>0</v>
      </c>
      <c r="H115" s="111">
        <f>H282*(1+inflation)^2*100/1000</f>
        <v>0</v>
      </c>
    </row>
    <row r="116" spans="1:8" ht="16.5" x14ac:dyDescent="0.3">
      <c r="A116" t="str">
        <f t="shared" ca="1" si="13"/>
        <v>Calc (Market Slow Rate)</v>
      </c>
      <c r="B116" t="s">
        <v>36</v>
      </c>
      <c r="C116" t="s">
        <v>125</v>
      </c>
      <c r="F116" s="111">
        <f t="shared" si="14"/>
        <v>0</v>
      </c>
      <c r="G116" s="111">
        <f>G283*(1+inflation)*100/1000</f>
        <v>0</v>
      </c>
      <c r="H116" s="111">
        <f>H283*(1+inflation)^2*100/1000</f>
        <v>0</v>
      </c>
    </row>
    <row r="118" spans="1:8" x14ac:dyDescent="0.25">
      <c r="A118" s="38" t="str">
        <f>A285</f>
        <v>Powercor</v>
      </c>
    </row>
    <row r="119" spans="1:8" ht="16.5" x14ac:dyDescent="0.3">
      <c r="A119" t="str">
        <f ca="1">A286</f>
        <v>Calc (LRMC Planning case)</v>
      </c>
      <c r="B119" t="s">
        <v>36</v>
      </c>
      <c r="C119" t="s">
        <v>125</v>
      </c>
      <c r="F119" s="111">
        <f t="shared" ref="F119:F122" si="15">F286*100/1000</f>
        <v>0</v>
      </c>
      <c r="G119" s="111">
        <f>G286*(1+inflation)*100/1000</f>
        <v>0</v>
      </c>
      <c r="H119" s="111">
        <f>H286*(1+inflation)^2*100/1000</f>
        <v>0</v>
      </c>
    </row>
    <row r="120" spans="1:8" ht="16.5" x14ac:dyDescent="0.3">
      <c r="A120" t="str">
        <f ca="1">A287</f>
        <v>Calc (LRMC Slow Rate)</v>
      </c>
      <c r="B120" t="s">
        <v>36</v>
      </c>
      <c r="C120" t="s">
        <v>125</v>
      </c>
      <c r="F120" s="111">
        <f t="shared" si="15"/>
        <v>0</v>
      </c>
      <c r="G120" s="111">
        <f>G287*(1+inflation)*100/1000</f>
        <v>0</v>
      </c>
      <c r="H120" s="111">
        <f>H287*(1+inflation)^2*100/1000</f>
        <v>0</v>
      </c>
    </row>
    <row r="121" spans="1:8" ht="16.5" x14ac:dyDescent="0.3">
      <c r="A121" t="str">
        <f ca="1">A288</f>
        <v>Calc (Market Planning Case)</v>
      </c>
      <c r="B121" t="s">
        <v>36</v>
      </c>
      <c r="C121" t="s">
        <v>125</v>
      </c>
      <c r="F121" s="111">
        <f t="shared" si="15"/>
        <v>0</v>
      </c>
      <c r="G121" s="111">
        <f>G288*(1+inflation)*100/1000</f>
        <v>0</v>
      </c>
      <c r="H121" s="111">
        <f>H288*(1+inflation)^2*100/1000</f>
        <v>0</v>
      </c>
    </row>
    <row r="122" spans="1:8" ht="16.5" x14ac:dyDescent="0.3">
      <c r="A122" t="str">
        <f ca="1">A289</f>
        <v>Calc (Market Slow Rate)</v>
      </c>
      <c r="B122" t="s">
        <v>36</v>
      </c>
      <c r="C122" t="s">
        <v>125</v>
      </c>
      <c r="F122" s="111">
        <f t="shared" si="15"/>
        <v>0</v>
      </c>
      <c r="G122" s="111">
        <f>G289*(1+inflation)*100/1000</f>
        <v>0</v>
      </c>
      <c r="H122" s="111">
        <f>H289*(1+inflation)^2*100/1000</f>
        <v>0</v>
      </c>
    </row>
    <row r="124" spans="1:8" x14ac:dyDescent="0.25">
      <c r="A124" s="38" t="str">
        <f>A291</f>
        <v>SP Ausnet</v>
      </c>
    </row>
    <row r="125" spans="1:8" ht="16.5" x14ac:dyDescent="0.3">
      <c r="A125" t="str">
        <f ca="1">A292</f>
        <v>Calc (LRMC Planning case)</v>
      </c>
      <c r="B125" t="s">
        <v>36</v>
      </c>
      <c r="C125" t="s">
        <v>125</v>
      </c>
      <c r="F125" s="111">
        <f t="shared" ref="F125:F128" si="16">F292*100/1000</f>
        <v>0</v>
      </c>
      <c r="G125" s="111">
        <f>G292*(1+inflation)*100/1000</f>
        <v>0</v>
      </c>
      <c r="H125" s="111">
        <f>H292*(1+inflation)^2*100/1000</f>
        <v>0</v>
      </c>
    </row>
    <row r="126" spans="1:8" ht="16.5" x14ac:dyDescent="0.3">
      <c r="A126" t="str">
        <f ca="1">A293</f>
        <v>Calc (LRMC Slow Rate)</v>
      </c>
      <c r="B126" t="s">
        <v>36</v>
      </c>
      <c r="C126" t="s">
        <v>125</v>
      </c>
      <c r="F126" s="111">
        <f t="shared" si="16"/>
        <v>0</v>
      </c>
      <c r="G126" s="111">
        <f>G293*(1+inflation)*100/1000</f>
        <v>0</v>
      </c>
      <c r="H126" s="111">
        <f>H293*(1+inflation)^2*100/1000</f>
        <v>0</v>
      </c>
    </row>
    <row r="127" spans="1:8" ht="16.5" x14ac:dyDescent="0.3">
      <c r="A127" t="str">
        <f ca="1">A294</f>
        <v>Calc (Market Planning Case)</v>
      </c>
      <c r="B127" t="s">
        <v>36</v>
      </c>
      <c r="C127" t="s">
        <v>125</v>
      </c>
      <c r="F127" s="111">
        <f t="shared" si="16"/>
        <v>0</v>
      </c>
      <c r="G127" s="111">
        <f>G294*(1+inflation)*100/1000</f>
        <v>0</v>
      </c>
      <c r="H127" s="111">
        <f>H294*(1+inflation)^2*100/1000</f>
        <v>0</v>
      </c>
    </row>
    <row r="128" spans="1:8" ht="16.5" x14ac:dyDescent="0.3">
      <c r="A128" t="str">
        <f ca="1">A295</f>
        <v>Calc (Market Slow Rate)</v>
      </c>
      <c r="B128" t="s">
        <v>36</v>
      </c>
      <c r="C128" t="s">
        <v>125</v>
      </c>
      <c r="F128" s="111">
        <f t="shared" si="16"/>
        <v>0</v>
      </c>
      <c r="G128" s="111">
        <f>G295*(1+inflation)*100/1000</f>
        <v>0</v>
      </c>
      <c r="H128" s="111">
        <f>H295*(1+inflation)^2*100/1000</f>
        <v>0</v>
      </c>
    </row>
    <row r="130" spans="1:8" x14ac:dyDescent="0.25">
      <c r="A130" s="38" t="str">
        <f>A297</f>
        <v>United</v>
      </c>
    </row>
    <row r="131" spans="1:8" ht="16.5" x14ac:dyDescent="0.3">
      <c r="A131" t="str">
        <f ca="1">A298</f>
        <v>Calc (LRMC Planning case)</v>
      </c>
      <c r="B131" t="s">
        <v>36</v>
      </c>
      <c r="C131" t="s">
        <v>125</v>
      </c>
      <c r="F131" s="111">
        <f t="shared" ref="F131:F134" si="17">F298*100/1000</f>
        <v>0</v>
      </c>
      <c r="G131" s="111">
        <f>G298*(1+inflation)*100/1000</f>
        <v>0</v>
      </c>
      <c r="H131" s="111">
        <f>H298*(1+inflation)^2*100/1000</f>
        <v>0</v>
      </c>
    </row>
    <row r="132" spans="1:8" ht="16.5" x14ac:dyDescent="0.3">
      <c r="A132" t="str">
        <f ca="1">A299</f>
        <v>Calc (LRMC Slow Rate)</v>
      </c>
      <c r="B132" t="s">
        <v>36</v>
      </c>
      <c r="C132" t="s">
        <v>125</v>
      </c>
      <c r="F132" s="111">
        <f t="shared" si="17"/>
        <v>0</v>
      </c>
      <c r="G132" s="111">
        <f>G299*(1+inflation)*100/1000</f>
        <v>0</v>
      </c>
      <c r="H132" s="111">
        <f>H299*(1+inflation)^2*100/1000</f>
        <v>0</v>
      </c>
    </row>
    <row r="133" spans="1:8" ht="16.5" x14ac:dyDescent="0.3">
      <c r="A133" t="str">
        <f ca="1">A300</f>
        <v>Calc (Market Planning Case)</v>
      </c>
      <c r="B133" t="s">
        <v>36</v>
      </c>
      <c r="C133" t="s">
        <v>125</v>
      </c>
      <c r="F133" s="111">
        <f t="shared" si="17"/>
        <v>0</v>
      </c>
      <c r="G133" s="111">
        <f>G300*(1+inflation)*100/1000</f>
        <v>0</v>
      </c>
      <c r="H133" s="111">
        <f>H300*(1+inflation)^2*100/1000</f>
        <v>0</v>
      </c>
    </row>
    <row r="134" spans="1:8" ht="16.5" x14ac:dyDescent="0.3">
      <c r="A134" t="str">
        <f ca="1">A301</f>
        <v>Calc (Market Slow Rate)</v>
      </c>
      <c r="B134" t="s">
        <v>36</v>
      </c>
      <c r="C134" t="s">
        <v>125</v>
      </c>
      <c r="F134" s="111">
        <f t="shared" si="17"/>
        <v>0</v>
      </c>
      <c r="G134" s="111">
        <f>G301*(1+inflation)*100/1000</f>
        <v>0</v>
      </c>
      <c r="H134" s="111">
        <f>H301*(1+inflation)^2*100/1000</f>
        <v>0</v>
      </c>
    </row>
    <row r="136" spans="1:8" x14ac:dyDescent="0.25">
      <c r="A136" s="38" t="str">
        <f>A303</f>
        <v>Jemena</v>
      </c>
    </row>
    <row r="137" spans="1:8" ht="16.5" x14ac:dyDescent="0.3">
      <c r="A137" t="str">
        <f ca="1">A304</f>
        <v>Calc (LRMC Planning case)</v>
      </c>
      <c r="B137" t="s">
        <v>36</v>
      </c>
      <c r="C137" t="s">
        <v>125</v>
      </c>
      <c r="F137" s="111">
        <f t="shared" ref="F137:F140" si="18">F304*100/1000</f>
        <v>0</v>
      </c>
      <c r="G137" s="111">
        <f>G304*(1+inflation)*100/1000</f>
        <v>0</v>
      </c>
      <c r="H137" s="111">
        <f>H304*(1+inflation)^2*100/1000</f>
        <v>0</v>
      </c>
    </row>
    <row r="138" spans="1:8" ht="16.5" x14ac:dyDescent="0.3">
      <c r="A138" t="str">
        <f ca="1">A305</f>
        <v>Calc (LRMC Slow Rate)</v>
      </c>
      <c r="B138" t="s">
        <v>36</v>
      </c>
      <c r="C138" t="s">
        <v>125</v>
      </c>
      <c r="F138" s="111">
        <f t="shared" si="18"/>
        <v>0</v>
      </c>
      <c r="G138" s="111">
        <f>G305*(1+inflation)*100/1000</f>
        <v>0</v>
      </c>
      <c r="H138" s="111">
        <f>H305*(1+inflation)^2*100/1000</f>
        <v>0</v>
      </c>
    </row>
    <row r="139" spans="1:8" ht="16.5" x14ac:dyDescent="0.3">
      <c r="A139" t="str">
        <f ca="1">A306</f>
        <v>Calc (Market Planning Case)</v>
      </c>
      <c r="B139" t="s">
        <v>36</v>
      </c>
      <c r="C139" t="s">
        <v>125</v>
      </c>
      <c r="F139" s="111">
        <f t="shared" si="18"/>
        <v>0</v>
      </c>
      <c r="G139" s="111">
        <f>G306*(1+inflation)*100/1000</f>
        <v>0</v>
      </c>
      <c r="H139" s="111">
        <f>H306*(1+inflation)^2*100/1000</f>
        <v>0</v>
      </c>
    </row>
    <row r="140" spans="1:8" ht="16.5" x14ac:dyDescent="0.3">
      <c r="A140" t="str">
        <f ca="1">A307</f>
        <v>Calc (Market Slow Rate)</v>
      </c>
      <c r="B140" t="s">
        <v>36</v>
      </c>
      <c r="C140" t="s">
        <v>125</v>
      </c>
      <c r="F140" s="111">
        <f t="shared" si="18"/>
        <v>0</v>
      </c>
      <c r="G140" s="111">
        <f>G307*(1+inflation)*100/1000</f>
        <v>0</v>
      </c>
      <c r="H140" s="111">
        <f>H307*(1+inflation)^2*100/1000</f>
        <v>0</v>
      </c>
    </row>
    <row r="142" spans="1:8" x14ac:dyDescent="0.25">
      <c r="A142" s="8" t="str">
        <f t="shared" ref="A142:A147" si="19">A309</f>
        <v>blank</v>
      </c>
    </row>
    <row r="143" spans="1:8" x14ac:dyDescent="0.25">
      <c r="A143" s="38" t="str">
        <f t="shared" si="19"/>
        <v>Citipower</v>
      </c>
    </row>
    <row r="144" spans="1:8" ht="16.5" x14ac:dyDescent="0.3">
      <c r="A144" t="str">
        <f t="shared" ca="1" si="19"/>
        <v>Calc (LRMC Planning case)</v>
      </c>
      <c r="B144" t="s">
        <v>36</v>
      </c>
      <c r="C144" t="s">
        <v>125</v>
      </c>
      <c r="F144" s="111">
        <f>IF($A$142="blank",0,F311*100/1000)</f>
        <v>0</v>
      </c>
      <c r="G144" s="111">
        <f t="shared" ref="G144:H144" si="20">IF($A$142="blank",0,G311*100/1000)</f>
        <v>0</v>
      </c>
      <c r="H144" s="111">
        <f t="shared" si="20"/>
        <v>0</v>
      </c>
    </row>
    <row r="145" spans="1:8" ht="16.5" x14ac:dyDescent="0.3">
      <c r="A145" t="str">
        <f t="shared" ca="1" si="19"/>
        <v>Calc (LRMC Slow Rate)</v>
      </c>
      <c r="B145" t="s">
        <v>36</v>
      </c>
      <c r="C145" t="s">
        <v>125</v>
      </c>
      <c r="F145" s="111">
        <f>IF($A142="blank",0,F312*100/1000)</f>
        <v>0</v>
      </c>
      <c r="G145" s="111">
        <f t="shared" ref="G145:H145" si="21">IF($A142="blank",0,G312*100/1000)</f>
        <v>0</v>
      </c>
      <c r="H145" s="111">
        <f t="shared" si="21"/>
        <v>0</v>
      </c>
    </row>
    <row r="146" spans="1:8" ht="16.5" x14ac:dyDescent="0.3">
      <c r="A146" t="str">
        <f t="shared" ca="1" si="19"/>
        <v>Calc (Market Planning Case)</v>
      </c>
      <c r="B146" t="s">
        <v>36</v>
      </c>
      <c r="C146" t="s">
        <v>125</v>
      </c>
      <c r="F146" s="111">
        <f>IF($A142="blank",0,F313*100/1000)</f>
        <v>0</v>
      </c>
      <c r="G146" s="111">
        <f t="shared" ref="G146:H146" si="22">IF($A142="blank",0,G313*100/1000)</f>
        <v>0</v>
      </c>
      <c r="H146" s="111">
        <f t="shared" si="22"/>
        <v>0</v>
      </c>
    </row>
    <row r="147" spans="1:8" ht="16.5" x14ac:dyDescent="0.3">
      <c r="A147" t="str">
        <f t="shared" ca="1" si="19"/>
        <v>Calc (Market Slow Rate)</v>
      </c>
      <c r="B147" t="s">
        <v>36</v>
      </c>
      <c r="C147" t="s">
        <v>125</v>
      </c>
      <c r="F147" s="111">
        <f>IF($A142="blank",0,F314*100/1000)</f>
        <v>0</v>
      </c>
      <c r="G147" s="111">
        <f t="shared" ref="G147:H147" si="23">IF($A142="blank",0,G314*100/1000)</f>
        <v>0</v>
      </c>
      <c r="H147" s="111">
        <f t="shared" si="23"/>
        <v>0</v>
      </c>
    </row>
    <row r="149" spans="1:8" x14ac:dyDescent="0.25">
      <c r="A149" s="38" t="str">
        <f>A316</f>
        <v>Powercor</v>
      </c>
    </row>
    <row r="150" spans="1:8" ht="16.5" x14ac:dyDescent="0.3">
      <c r="A150" t="str">
        <f ca="1">A317</f>
        <v>Calc (LRMC Planning case)</v>
      </c>
      <c r="B150" t="s">
        <v>36</v>
      </c>
      <c r="C150" t="s">
        <v>125</v>
      </c>
      <c r="F150" s="111">
        <f>IF($A$142="blank",0,F317*100/1000)</f>
        <v>0</v>
      </c>
      <c r="G150" s="111">
        <f t="shared" ref="G150:H150" si="24">IF($A$142="blank",0,G317*100/1000)</f>
        <v>0</v>
      </c>
      <c r="H150" s="111">
        <f t="shared" si="24"/>
        <v>0</v>
      </c>
    </row>
    <row r="151" spans="1:8" ht="16.5" x14ac:dyDescent="0.3">
      <c r="A151" t="str">
        <f ca="1">A318</f>
        <v>Calc (LRMC Slow Rate)</v>
      </c>
      <c r="B151" t="s">
        <v>36</v>
      </c>
      <c r="C151" t="s">
        <v>125</v>
      </c>
      <c r="F151" s="111">
        <f t="shared" ref="F151:H153" si="25">IF($A$142="blank",0,F318*100/1000)</f>
        <v>0</v>
      </c>
      <c r="G151" s="111">
        <f t="shared" si="25"/>
        <v>0</v>
      </c>
      <c r="H151" s="111">
        <f t="shared" si="25"/>
        <v>0</v>
      </c>
    </row>
    <row r="152" spans="1:8" ht="16.5" x14ac:dyDescent="0.3">
      <c r="A152" t="str">
        <f ca="1">A319</f>
        <v>Calc (Market Planning Case)</v>
      </c>
      <c r="B152" t="s">
        <v>36</v>
      </c>
      <c r="C152" t="s">
        <v>125</v>
      </c>
      <c r="F152" s="111">
        <f t="shared" si="25"/>
        <v>0</v>
      </c>
      <c r="G152" s="111">
        <f t="shared" si="25"/>
        <v>0</v>
      </c>
      <c r="H152" s="111">
        <f t="shared" si="25"/>
        <v>0</v>
      </c>
    </row>
    <row r="153" spans="1:8" ht="16.5" x14ac:dyDescent="0.3">
      <c r="A153" t="str">
        <f ca="1">A320</f>
        <v>Calc (Market Slow Rate)</v>
      </c>
      <c r="B153" t="s">
        <v>36</v>
      </c>
      <c r="C153" t="s">
        <v>125</v>
      </c>
      <c r="F153" s="111">
        <f t="shared" si="25"/>
        <v>0</v>
      </c>
      <c r="G153" s="111">
        <f t="shared" si="25"/>
        <v>0</v>
      </c>
      <c r="H153" s="111">
        <f t="shared" si="25"/>
        <v>0</v>
      </c>
    </row>
    <row r="155" spans="1:8" x14ac:dyDescent="0.25">
      <c r="A155" s="38" t="str">
        <f>A322</f>
        <v>SP Ausnet</v>
      </c>
    </row>
    <row r="156" spans="1:8" ht="16.5" x14ac:dyDescent="0.3">
      <c r="A156" t="str">
        <f ca="1">A323</f>
        <v>Calc (LRMC Planning case)</v>
      </c>
      <c r="B156" t="s">
        <v>36</v>
      </c>
      <c r="C156" t="s">
        <v>125</v>
      </c>
      <c r="F156" s="111">
        <f>IF($A$142="blank",0,F323*100/1000)</f>
        <v>0</v>
      </c>
      <c r="G156" s="111">
        <f t="shared" ref="G156:H156" si="26">IF($A$142="blank",0,G323*100/1000)</f>
        <v>0</v>
      </c>
      <c r="H156" s="111">
        <f t="shared" si="26"/>
        <v>0</v>
      </c>
    </row>
    <row r="157" spans="1:8" ht="16.5" x14ac:dyDescent="0.3">
      <c r="A157" t="str">
        <f ca="1">A324</f>
        <v>Calc (LRMC Slow Rate)</v>
      </c>
      <c r="B157" t="s">
        <v>36</v>
      </c>
      <c r="C157" t="s">
        <v>125</v>
      </c>
      <c r="F157" s="111">
        <f t="shared" ref="F157:H159" si="27">IF($A$142="blank",0,F324*100/1000)</f>
        <v>0</v>
      </c>
      <c r="G157" s="111">
        <f t="shared" si="27"/>
        <v>0</v>
      </c>
      <c r="H157" s="111">
        <f t="shared" si="27"/>
        <v>0</v>
      </c>
    </row>
    <row r="158" spans="1:8" ht="16.5" x14ac:dyDescent="0.3">
      <c r="A158" t="str">
        <f ca="1">A325</f>
        <v>Calc (Market Planning Case)</v>
      </c>
      <c r="B158" t="s">
        <v>36</v>
      </c>
      <c r="C158" t="s">
        <v>125</v>
      </c>
      <c r="F158" s="111">
        <f t="shared" si="27"/>
        <v>0</v>
      </c>
      <c r="G158" s="111">
        <f t="shared" si="27"/>
        <v>0</v>
      </c>
      <c r="H158" s="111">
        <f t="shared" si="27"/>
        <v>0</v>
      </c>
    </row>
    <row r="159" spans="1:8" ht="16.5" x14ac:dyDescent="0.3">
      <c r="A159" t="str">
        <f ca="1">A326</f>
        <v>Calc (Market Slow Rate)</v>
      </c>
      <c r="B159" t="s">
        <v>36</v>
      </c>
      <c r="C159" t="s">
        <v>125</v>
      </c>
      <c r="F159" s="111">
        <f t="shared" si="27"/>
        <v>0</v>
      </c>
      <c r="G159" s="111">
        <f t="shared" si="27"/>
        <v>0</v>
      </c>
      <c r="H159" s="111">
        <f t="shared" si="27"/>
        <v>0</v>
      </c>
    </row>
    <row r="161" spans="1:9" x14ac:dyDescent="0.25">
      <c r="A161" s="38" t="str">
        <f>A328</f>
        <v>United</v>
      </c>
    </row>
    <row r="162" spans="1:9" ht="16.5" x14ac:dyDescent="0.3">
      <c r="A162" t="str">
        <f ca="1">A329</f>
        <v>Calc (LRMC Planning case)</v>
      </c>
      <c r="B162" t="s">
        <v>36</v>
      </c>
      <c r="C162" t="s">
        <v>125</v>
      </c>
      <c r="F162" s="111">
        <f>IF($A$142="blank",0,F329*100/1000)</f>
        <v>0</v>
      </c>
      <c r="G162" s="111">
        <f t="shared" ref="G162:H162" si="28">IF($A$142="blank",0,G329*100/1000)</f>
        <v>0</v>
      </c>
      <c r="H162" s="111">
        <f t="shared" si="28"/>
        <v>0</v>
      </c>
    </row>
    <row r="163" spans="1:9" ht="16.5" x14ac:dyDescent="0.3">
      <c r="A163" t="str">
        <f ca="1">A330</f>
        <v>Calc (LRMC Slow Rate)</v>
      </c>
      <c r="B163" t="s">
        <v>36</v>
      </c>
      <c r="C163" t="s">
        <v>125</v>
      </c>
      <c r="F163" s="111">
        <f t="shared" ref="F163:H165" si="29">IF($A$142="blank",0,F330*100/1000)</f>
        <v>0</v>
      </c>
      <c r="G163" s="111">
        <f t="shared" si="29"/>
        <v>0</v>
      </c>
      <c r="H163" s="111">
        <f t="shared" si="29"/>
        <v>0</v>
      </c>
    </row>
    <row r="164" spans="1:9" ht="16.5" x14ac:dyDescent="0.3">
      <c r="A164" t="str">
        <f ca="1">A331</f>
        <v>Calc (Market Planning Case)</v>
      </c>
      <c r="B164" t="s">
        <v>36</v>
      </c>
      <c r="C164" t="s">
        <v>125</v>
      </c>
      <c r="F164" s="111">
        <f t="shared" si="29"/>
        <v>0</v>
      </c>
      <c r="G164" s="111">
        <f t="shared" si="29"/>
        <v>0</v>
      </c>
      <c r="H164" s="111">
        <f t="shared" si="29"/>
        <v>0</v>
      </c>
    </row>
    <row r="165" spans="1:9" ht="16.5" x14ac:dyDescent="0.3">
      <c r="A165" t="str">
        <f ca="1">A332</f>
        <v>Calc (Market Slow Rate)</v>
      </c>
      <c r="B165" t="s">
        <v>36</v>
      </c>
      <c r="C165" t="s">
        <v>125</v>
      </c>
      <c r="F165" s="111">
        <f t="shared" si="29"/>
        <v>0</v>
      </c>
      <c r="G165" s="111">
        <f t="shared" si="29"/>
        <v>0</v>
      </c>
      <c r="H165" s="111">
        <f t="shared" si="29"/>
        <v>0</v>
      </c>
    </row>
    <row r="167" spans="1:9" x14ac:dyDescent="0.25">
      <c r="A167" s="38" t="str">
        <f>A334</f>
        <v>Jemena</v>
      </c>
    </row>
    <row r="168" spans="1:9" ht="16.5" x14ac:dyDescent="0.3">
      <c r="A168" t="str">
        <f ca="1">A335</f>
        <v>Calc (LRMC Planning case)</v>
      </c>
      <c r="B168" t="s">
        <v>36</v>
      </c>
      <c r="C168" t="s">
        <v>125</v>
      </c>
      <c r="F168" s="111">
        <f>IF($A$142="blank",0,F335*100/1000)</f>
        <v>0</v>
      </c>
      <c r="G168" s="111">
        <f t="shared" ref="G168:H168" si="30">IF($A$142="blank",0,G335*100/1000)</f>
        <v>0</v>
      </c>
      <c r="H168" s="111">
        <f t="shared" si="30"/>
        <v>0</v>
      </c>
    </row>
    <row r="169" spans="1:9" ht="16.5" x14ac:dyDescent="0.3">
      <c r="A169" t="str">
        <f ca="1">A336</f>
        <v>Calc (LRMC Slow Rate)</v>
      </c>
      <c r="B169" t="s">
        <v>36</v>
      </c>
      <c r="C169" t="s">
        <v>125</v>
      </c>
      <c r="F169" s="111">
        <f t="shared" ref="F169:H171" si="31">IF($A$142="blank",0,F336*100/1000)</f>
        <v>0</v>
      </c>
      <c r="G169" s="111">
        <f t="shared" si="31"/>
        <v>0</v>
      </c>
      <c r="H169" s="111">
        <f t="shared" si="31"/>
        <v>0</v>
      </c>
    </row>
    <row r="170" spans="1:9" ht="16.5" x14ac:dyDescent="0.3">
      <c r="A170" t="str">
        <f ca="1">A337</f>
        <v>Calc (Market Planning Case)</v>
      </c>
      <c r="B170" t="s">
        <v>36</v>
      </c>
      <c r="C170" t="s">
        <v>125</v>
      </c>
      <c r="F170" s="111">
        <f t="shared" si="31"/>
        <v>0</v>
      </c>
      <c r="G170" s="111">
        <f t="shared" si="31"/>
        <v>0</v>
      </c>
      <c r="H170" s="111">
        <f t="shared" si="31"/>
        <v>0</v>
      </c>
    </row>
    <row r="171" spans="1:9" ht="16.5" x14ac:dyDescent="0.3">
      <c r="A171" t="str">
        <f ca="1">A338</f>
        <v>Calc (Market Slow Rate)</v>
      </c>
      <c r="B171" t="s">
        <v>36</v>
      </c>
      <c r="C171" t="s">
        <v>125</v>
      </c>
      <c r="F171" s="111">
        <f t="shared" si="31"/>
        <v>0</v>
      </c>
      <c r="G171" s="111">
        <f t="shared" si="31"/>
        <v>0</v>
      </c>
      <c r="H171" s="111">
        <f t="shared" si="31"/>
        <v>0</v>
      </c>
    </row>
    <row r="173" spans="1:9" s="37" customFormat="1" ht="18.75" x14ac:dyDescent="0.3">
      <c r="A173" s="36" t="s">
        <v>122</v>
      </c>
    </row>
    <row r="174" spans="1:9" ht="16.5" x14ac:dyDescent="0.3">
      <c r="B174" s="113"/>
      <c r="C174" s="113"/>
      <c r="D174" s="113"/>
      <c r="E174" s="113"/>
      <c r="F174" s="113"/>
      <c r="G174" s="113"/>
      <c r="H174" s="113"/>
      <c r="I174" s="104"/>
    </row>
    <row r="175" spans="1:9" ht="16.5" x14ac:dyDescent="0.3">
      <c r="A175" s="21" t="s">
        <v>72</v>
      </c>
      <c r="B175" s="113"/>
      <c r="C175" s="113"/>
      <c r="D175" s="113"/>
      <c r="E175" s="113"/>
      <c r="F175" s="113"/>
      <c r="G175" s="113"/>
      <c r="H175" s="113"/>
      <c r="I175" s="104"/>
    </row>
    <row r="176" spans="1:9" ht="16.5" x14ac:dyDescent="0.3">
      <c r="A176" s="113" t="s">
        <v>110</v>
      </c>
      <c r="B176" s="137" t="s">
        <v>136</v>
      </c>
      <c r="C176" s="113" t="s">
        <v>65</v>
      </c>
      <c r="D176" s="113"/>
      <c r="E176" s="113"/>
      <c r="F176" s="137">
        <v>0.39600000000000002</v>
      </c>
      <c r="G176" s="137">
        <v>0.39512195121951227</v>
      </c>
      <c r="H176" s="137">
        <v>0.39262343842950626</v>
      </c>
      <c r="I176" s="42"/>
    </row>
    <row r="177" spans="1:9" ht="16.5" x14ac:dyDescent="0.3">
      <c r="A177" s="113" t="s">
        <v>111</v>
      </c>
      <c r="B177" s="137" t="s">
        <v>136</v>
      </c>
      <c r="C177" s="113" t="s">
        <v>65</v>
      </c>
      <c r="D177" s="113"/>
      <c r="E177" s="113"/>
      <c r="F177" s="137">
        <v>0.18729034256352789</v>
      </c>
      <c r="G177" s="137">
        <v>0.18729034256352789</v>
      </c>
      <c r="H177" s="137">
        <v>0.18729034256352789</v>
      </c>
      <c r="I177" s="104"/>
    </row>
    <row r="178" spans="1:9" ht="16.5" x14ac:dyDescent="0.3">
      <c r="A178" s="104"/>
      <c r="B178" s="104"/>
      <c r="C178" s="104"/>
      <c r="D178" s="104"/>
      <c r="E178" s="104"/>
      <c r="F178" s="52"/>
      <c r="G178" s="104"/>
      <c r="H178" s="104"/>
      <c r="I178" s="104"/>
    </row>
    <row r="179" spans="1:9" ht="16.5" x14ac:dyDescent="0.3">
      <c r="A179" s="114" t="str">
        <f>Dist1</f>
        <v>Citipower</v>
      </c>
      <c r="B179" s="113"/>
      <c r="C179" s="113"/>
      <c r="D179" s="113"/>
      <c r="E179" s="113"/>
      <c r="F179" s="115"/>
      <c r="G179" s="113"/>
      <c r="H179" s="113"/>
      <c r="I179" s="104"/>
    </row>
    <row r="180" spans="1:9" ht="16.5" x14ac:dyDescent="0.3">
      <c r="A180" s="104" t="str">
        <f ca="1">'Calc (LRMC Planning case)'!$B$2</f>
        <v>Calc (LRMC Planning case)</v>
      </c>
      <c r="B180" s="137" t="s">
        <v>136</v>
      </c>
      <c r="C180" s="113" t="s">
        <v>65</v>
      </c>
      <c r="D180" s="113"/>
      <c r="E180" s="113"/>
      <c r="F180" s="137">
        <v>74.327984630136839</v>
      </c>
      <c r="G180" s="137">
        <v>74.77755504364454</v>
      </c>
      <c r="H180" s="137">
        <v>76.719820776411325</v>
      </c>
      <c r="I180" s="104"/>
    </row>
    <row r="181" spans="1:9" ht="16.5" x14ac:dyDescent="0.3">
      <c r="A181" s="104" t="str">
        <f ca="1">'Calc (LRMC Slow Rate)'!$B$2</f>
        <v>Calc (LRMC Slow Rate)</v>
      </c>
      <c r="B181" s="137" t="s">
        <v>136</v>
      </c>
      <c r="C181" s="113" t="s">
        <v>65</v>
      </c>
      <c r="D181" s="113"/>
      <c r="E181" s="113"/>
      <c r="F181" s="137">
        <v>70.40602761313923</v>
      </c>
      <c r="G181" s="137">
        <v>72.040937068470541</v>
      </c>
      <c r="H181" s="137">
        <v>73.038265907572196</v>
      </c>
      <c r="I181" s="104"/>
    </row>
    <row r="182" spans="1:9" ht="16.5" x14ac:dyDescent="0.3">
      <c r="A182" s="104" t="str">
        <f ca="1">'Calc (Market Planning Case)'!$B$2</f>
        <v>Calc (Market Planning Case)</v>
      </c>
      <c r="B182" s="137" t="s">
        <v>136</v>
      </c>
      <c r="C182" s="113" t="s">
        <v>65</v>
      </c>
      <c r="D182" s="113"/>
      <c r="E182" s="113"/>
      <c r="F182" s="137">
        <v>73.899533878018559</v>
      </c>
      <c r="G182" s="137">
        <v>68.207566322188626</v>
      </c>
      <c r="H182" s="137">
        <v>70.950666191340446</v>
      </c>
      <c r="I182" s="104"/>
    </row>
    <row r="183" spans="1:9" ht="16.5" x14ac:dyDescent="0.3">
      <c r="A183" s="104" t="str">
        <f ca="1">'Calc (Market Slow Rate)'!$B$2</f>
        <v>Calc (Market Slow Rate)</v>
      </c>
      <c r="B183" s="137" t="s">
        <v>136</v>
      </c>
      <c r="C183" s="113" t="s">
        <v>65</v>
      </c>
      <c r="D183" s="113"/>
      <c r="E183" s="113"/>
      <c r="F183" s="137">
        <v>68.055839781409446</v>
      </c>
      <c r="G183" s="137">
        <v>67.30205986718596</v>
      </c>
      <c r="H183" s="137">
        <v>63.7224309150008</v>
      </c>
      <c r="I183" s="104"/>
    </row>
    <row r="184" spans="1:9" ht="16.5" x14ac:dyDescent="0.3">
      <c r="A184" s="113"/>
      <c r="B184" s="104"/>
      <c r="C184" s="104"/>
      <c r="D184" s="104"/>
      <c r="E184" s="104"/>
      <c r="F184" s="116"/>
      <c r="G184" s="117"/>
      <c r="H184" s="117"/>
      <c r="I184" s="104"/>
    </row>
    <row r="185" spans="1:9" ht="16.5" x14ac:dyDescent="0.3">
      <c r="A185" s="54" t="str">
        <f>Dist2</f>
        <v>Powercor</v>
      </c>
      <c r="B185" s="104"/>
      <c r="C185" s="104"/>
      <c r="D185" s="104"/>
      <c r="E185" s="104"/>
      <c r="F185" s="52"/>
      <c r="G185" s="104"/>
      <c r="H185" s="104"/>
      <c r="I185" s="104"/>
    </row>
    <row r="186" spans="1:9" ht="16.5" x14ac:dyDescent="0.3">
      <c r="A186" s="104" t="str">
        <f ca="1">'Calc (LRMC Planning case)'!$B$2</f>
        <v>Calc (LRMC Planning case)</v>
      </c>
      <c r="B186" s="137" t="s">
        <v>136</v>
      </c>
      <c r="C186" s="113" t="s">
        <v>65</v>
      </c>
      <c r="D186" s="113"/>
      <c r="E186" s="113"/>
      <c r="F186" s="137">
        <v>74.79840464938286</v>
      </c>
      <c r="G186" s="137">
        <v>75.270102456345157</v>
      </c>
      <c r="H186" s="137">
        <v>77.219621772494392</v>
      </c>
      <c r="I186" s="104"/>
    </row>
    <row r="187" spans="1:9" ht="16.5" x14ac:dyDescent="0.3">
      <c r="A187" s="104" t="str">
        <f ca="1">'Calc (LRMC Slow Rate)'!$B$2</f>
        <v>Calc (LRMC Slow Rate)</v>
      </c>
      <c r="B187" s="137" t="s">
        <v>136</v>
      </c>
      <c r="C187" s="113" t="s">
        <v>65</v>
      </c>
      <c r="D187" s="113"/>
      <c r="E187" s="113"/>
      <c r="F187" s="137">
        <v>70.710908074841768</v>
      </c>
      <c r="G187" s="137">
        <v>72.286442809154806</v>
      </c>
      <c r="H187" s="137">
        <v>77.018355242038709</v>
      </c>
      <c r="I187" s="104"/>
    </row>
    <row r="188" spans="1:9" ht="16.5" x14ac:dyDescent="0.3">
      <c r="A188" s="104" t="str">
        <f ca="1">'Calc (Market Planning Case)'!$B$2</f>
        <v>Calc (Market Planning Case)</v>
      </c>
      <c r="B188" s="137" t="s">
        <v>136</v>
      </c>
      <c r="C188" s="113" t="s">
        <v>65</v>
      </c>
      <c r="D188" s="113"/>
      <c r="E188" s="113"/>
      <c r="F188" s="137">
        <v>72.202660111356067</v>
      </c>
      <c r="G188" s="137">
        <v>67.030879664254229</v>
      </c>
      <c r="H188" s="137">
        <v>69.696617634322891</v>
      </c>
      <c r="I188" s="104"/>
    </row>
    <row r="189" spans="1:9" ht="16.5" x14ac:dyDescent="0.3">
      <c r="A189" s="104" t="str">
        <f ca="1">'Calc (Market Slow Rate)'!$B$2</f>
        <v>Calc (Market Slow Rate)</v>
      </c>
      <c r="B189" s="137" t="s">
        <v>136</v>
      </c>
      <c r="C189" s="113" t="s">
        <v>65</v>
      </c>
      <c r="D189" s="113"/>
      <c r="E189" s="113"/>
      <c r="F189" s="137">
        <v>66.774150026396754</v>
      </c>
      <c r="G189" s="137">
        <v>64.540465243637797</v>
      </c>
      <c r="H189" s="137">
        <v>62.908368906329578</v>
      </c>
      <c r="I189" s="104"/>
    </row>
    <row r="190" spans="1:9" ht="16.5" x14ac:dyDescent="0.3">
      <c r="A190" s="118"/>
      <c r="B190" s="113"/>
      <c r="C190" s="113"/>
      <c r="D190" s="113"/>
      <c r="E190" s="104"/>
      <c r="F190" s="52"/>
      <c r="G190" s="104"/>
      <c r="H190" s="104"/>
      <c r="I190" s="104"/>
    </row>
    <row r="191" spans="1:9" ht="16.5" x14ac:dyDescent="0.3">
      <c r="A191" s="114" t="str">
        <f>Dist3</f>
        <v>SP Ausnet</v>
      </c>
      <c r="B191" s="113"/>
      <c r="C191" s="113"/>
      <c r="D191" s="113"/>
      <c r="E191" s="113"/>
      <c r="F191" s="52"/>
      <c r="G191" s="113"/>
      <c r="H191" s="113"/>
      <c r="I191" s="104"/>
    </row>
    <row r="192" spans="1:9" ht="16.5" x14ac:dyDescent="0.3">
      <c r="A192" s="104" t="str">
        <f ca="1">'Calc (LRMC Planning case)'!$B$2</f>
        <v>Calc (LRMC Planning case)</v>
      </c>
      <c r="B192" s="137" t="s">
        <v>136</v>
      </c>
      <c r="C192" s="113" t="s">
        <v>65</v>
      </c>
      <c r="D192" s="113"/>
      <c r="E192" s="113"/>
      <c r="F192" s="137">
        <v>76.08681928196718</v>
      </c>
      <c r="G192" s="137">
        <v>76.558979029299095</v>
      </c>
      <c r="H192" s="137">
        <v>78.518736399642478</v>
      </c>
      <c r="I192" s="104"/>
    </row>
    <row r="193" spans="1:9" ht="16.5" x14ac:dyDescent="0.3">
      <c r="A193" s="104" t="str">
        <f ca="1">'Calc (LRMC Slow Rate)'!$B$2</f>
        <v>Calc (LRMC Slow Rate)</v>
      </c>
      <c r="B193" s="137" t="s">
        <v>136</v>
      </c>
      <c r="C193" s="113" t="s">
        <v>65</v>
      </c>
      <c r="D193" s="113"/>
      <c r="E193" s="113"/>
      <c r="F193" s="137">
        <v>71.900964160692467</v>
      </c>
      <c r="G193" s="137">
        <v>73.48015711151946</v>
      </c>
      <c r="H193" s="137">
        <v>74.507976624970965</v>
      </c>
      <c r="I193" s="104"/>
    </row>
    <row r="194" spans="1:9" ht="16.5" x14ac:dyDescent="0.3">
      <c r="A194" s="104" t="str">
        <f ca="1">'Calc (Market Planning Case)'!$B$2</f>
        <v>Calc (Market Planning Case)</v>
      </c>
      <c r="B194" s="137" t="s">
        <v>136</v>
      </c>
      <c r="C194" s="113" t="s">
        <v>65</v>
      </c>
      <c r="D194" s="113"/>
      <c r="E194" s="113"/>
      <c r="F194" s="137">
        <v>73.342202114896324</v>
      </c>
      <c r="G194" s="137">
        <v>68.011354883951569</v>
      </c>
      <c r="H194" s="137">
        <v>70.688695570857078</v>
      </c>
      <c r="I194" s="104"/>
    </row>
    <row r="195" spans="1:9" ht="16.5" x14ac:dyDescent="0.3">
      <c r="A195" s="104" t="str">
        <f ca="1">'Calc (Market Slow Rate)'!$B$2</f>
        <v>Calc (Market Slow Rate)</v>
      </c>
      <c r="B195" s="137" t="s">
        <v>136</v>
      </c>
      <c r="C195" s="113" t="s">
        <v>65</v>
      </c>
      <c r="D195" s="113"/>
      <c r="E195" s="113"/>
      <c r="F195" s="137">
        <v>67.765513933986426</v>
      </c>
      <c r="G195" s="137">
        <v>65.541725940981763</v>
      </c>
      <c r="H195" s="137">
        <v>63.801706189413245</v>
      </c>
      <c r="I195" s="104"/>
    </row>
    <row r="196" spans="1:9" ht="16.5" x14ac:dyDescent="0.3">
      <c r="A196" s="104"/>
      <c r="B196" s="104"/>
      <c r="C196" s="104"/>
      <c r="D196" s="104"/>
      <c r="E196" s="104"/>
      <c r="F196" s="52"/>
      <c r="G196" s="104"/>
      <c r="H196" s="104"/>
      <c r="I196" s="104"/>
    </row>
    <row r="197" spans="1:9" ht="16.5" x14ac:dyDescent="0.3">
      <c r="A197" s="114" t="str">
        <f>Dist4</f>
        <v>United</v>
      </c>
      <c r="B197" s="113"/>
      <c r="C197" s="113"/>
      <c r="D197" s="113"/>
      <c r="E197" s="113"/>
      <c r="F197" s="115"/>
      <c r="G197" s="113"/>
      <c r="H197" s="113"/>
      <c r="I197" s="104"/>
    </row>
    <row r="198" spans="1:9" ht="16.5" x14ac:dyDescent="0.3">
      <c r="A198" s="104" t="str">
        <f ca="1">'Calc (LRMC Planning case)'!$B$2</f>
        <v>Calc (LRMC Planning case)</v>
      </c>
      <c r="B198" s="137" t="s">
        <v>136</v>
      </c>
      <c r="C198" s="113" t="s">
        <v>65</v>
      </c>
      <c r="D198" s="113"/>
      <c r="E198" s="113"/>
      <c r="F198" s="137">
        <v>79.648960335184043</v>
      </c>
      <c r="G198" s="137">
        <v>80.105858124191641</v>
      </c>
      <c r="H198" s="137">
        <v>82.06286653043631</v>
      </c>
      <c r="I198" s="104"/>
    </row>
    <row r="199" spans="1:9" ht="16.5" x14ac:dyDescent="0.3">
      <c r="A199" s="104" t="str">
        <f ca="1">'Calc (LRMC Slow Rate)'!$B$2</f>
        <v>Calc (LRMC Slow Rate)</v>
      </c>
      <c r="B199" s="137" t="s">
        <v>136</v>
      </c>
      <c r="C199" s="113" t="s">
        <v>65</v>
      </c>
      <c r="D199" s="113"/>
      <c r="E199" s="113"/>
      <c r="F199" s="137">
        <v>75.232497580191009</v>
      </c>
      <c r="G199" s="137">
        <v>76.834481623360304</v>
      </c>
      <c r="H199" s="137">
        <v>77.852079832548341</v>
      </c>
      <c r="I199" s="104"/>
    </row>
    <row r="200" spans="1:9" ht="16.5" x14ac:dyDescent="0.3">
      <c r="A200" s="104" t="str">
        <f ca="1">'Calc (Market Planning Case)'!$B$2</f>
        <v>Calc (Market Planning Case)</v>
      </c>
      <c r="B200" s="137" t="s">
        <v>136</v>
      </c>
      <c r="C200" s="113" t="s">
        <v>65</v>
      </c>
      <c r="D200" s="113"/>
      <c r="E200" s="113"/>
      <c r="F200" s="137">
        <v>75.272762808031644</v>
      </c>
      <c r="G200" s="137">
        <v>69.5996260803214</v>
      </c>
      <c r="H200" s="137">
        <v>72.397722966498606</v>
      </c>
      <c r="I200" s="104"/>
    </row>
    <row r="201" spans="1:9" ht="16.5" x14ac:dyDescent="0.3">
      <c r="A201" s="104" t="str">
        <f ca="1">'Calc (Market Slow Rate)'!$B$2</f>
        <v>Calc (Market Slow Rate)</v>
      </c>
      <c r="B201" s="137" t="s">
        <v>136</v>
      </c>
      <c r="C201" s="113" t="s">
        <v>65</v>
      </c>
      <c r="D201" s="113"/>
      <c r="E201" s="113"/>
      <c r="F201" s="137">
        <v>69.437201513879899</v>
      </c>
      <c r="G201" s="137">
        <v>67.000761291061721</v>
      </c>
      <c r="H201" s="137">
        <v>65.112960546368726</v>
      </c>
      <c r="I201" s="104"/>
    </row>
    <row r="202" spans="1:9" ht="16.5" x14ac:dyDescent="0.3">
      <c r="A202" s="104"/>
      <c r="B202" s="104"/>
      <c r="C202" s="104"/>
      <c r="D202" s="104"/>
      <c r="E202" s="104"/>
      <c r="F202" s="52"/>
      <c r="G202" s="104"/>
      <c r="H202" s="104"/>
      <c r="I202" s="104"/>
    </row>
    <row r="203" spans="1:9" ht="16.5" x14ac:dyDescent="0.3">
      <c r="A203" s="114" t="str">
        <f>Dist5</f>
        <v>Jemena</v>
      </c>
      <c r="B203" s="113"/>
      <c r="C203" s="113"/>
      <c r="D203" s="113"/>
      <c r="E203" s="113"/>
      <c r="F203" s="115"/>
      <c r="G203" s="113"/>
      <c r="H203" s="113"/>
      <c r="I203" s="104"/>
    </row>
    <row r="204" spans="1:9" ht="16.5" x14ac:dyDescent="0.3">
      <c r="A204" s="104" t="str">
        <f ca="1">'Calc (LRMC Planning case)'!$B$2</f>
        <v>Calc (LRMC Planning case)</v>
      </c>
      <c r="B204" s="137" t="s">
        <v>136</v>
      </c>
      <c r="C204" s="113" t="s">
        <v>65</v>
      </c>
      <c r="D204" s="113"/>
      <c r="E204" s="113"/>
      <c r="F204" s="137">
        <v>78.465204381302456</v>
      </c>
      <c r="G204" s="137">
        <v>78.920963078532651</v>
      </c>
      <c r="H204" s="137">
        <v>80.874310291003198</v>
      </c>
      <c r="I204" s="104"/>
    </row>
    <row r="205" spans="1:9" ht="16.5" x14ac:dyDescent="0.3">
      <c r="A205" s="104" t="str">
        <f ca="1">'Calc (LRMC Slow Rate)'!$B$2</f>
        <v>Calc (LRMC Slow Rate)</v>
      </c>
      <c r="B205" s="137" t="s">
        <v>136</v>
      </c>
      <c r="C205" s="113" t="s">
        <v>65</v>
      </c>
      <c r="D205" s="113"/>
      <c r="E205" s="113"/>
      <c r="F205" s="137">
        <v>74.155814512578587</v>
      </c>
      <c r="G205" s="137">
        <v>75.763418403844312</v>
      </c>
      <c r="H205" s="137">
        <v>76.778416815459835</v>
      </c>
      <c r="I205" s="104"/>
    </row>
    <row r="206" spans="1:9" ht="16.5" x14ac:dyDescent="0.3">
      <c r="A206" s="104" t="str">
        <f ca="1">'Calc (Market Planning Case)'!$B$2</f>
        <v>Calc (Market Planning Case)</v>
      </c>
      <c r="B206" s="137" t="s">
        <v>136</v>
      </c>
      <c r="C206" s="113" t="s">
        <v>65</v>
      </c>
      <c r="D206" s="113"/>
      <c r="E206" s="113"/>
      <c r="F206" s="137">
        <v>75.44274579404906</v>
      </c>
      <c r="G206" s="137">
        <v>69.728330833703993</v>
      </c>
      <c r="H206" s="137">
        <v>72.521605062518788</v>
      </c>
      <c r="I206" s="104"/>
    </row>
    <row r="207" spans="1:9" ht="16.5" x14ac:dyDescent="0.3">
      <c r="A207" s="104" t="str">
        <f ca="1">'Calc (Market Slow Rate)'!$B$2</f>
        <v>Calc (Market Slow Rate)</v>
      </c>
      <c r="B207" s="137" t="s">
        <v>136</v>
      </c>
      <c r="C207" s="113" t="s">
        <v>65</v>
      </c>
      <c r="D207" s="113"/>
      <c r="E207" s="113"/>
      <c r="F207" s="137">
        <v>69.565289107129288</v>
      </c>
      <c r="G207" s="137">
        <v>67.140106780677499</v>
      </c>
      <c r="H207" s="137">
        <v>65.223440063348306</v>
      </c>
      <c r="I207" s="104"/>
    </row>
    <row r="208" spans="1:9" ht="16.5" x14ac:dyDescent="0.3">
      <c r="A208" s="113"/>
      <c r="B208" s="113"/>
      <c r="C208" s="113"/>
      <c r="D208" s="113"/>
      <c r="E208" s="113"/>
      <c r="F208" s="52"/>
      <c r="G208" s="117"/>
      <c r="H208" s="117"/>
      <c r="I208" s="104"/>
    </row>
    <row r="209" spans="1:9" ht="16.5" x14ac:dyDescent="0.3">
      <c r="A209" s="110" t="s">
        <v>91</v>
      </c>
      <c r="B209" s="113"/>
      <c r="C209" s="113"/>
      <c r="D209" s="113"/>
      <c r="E209" s="113"/>
      <c r="F209" s="52"/>
      <c r="G209" s="117"/>
      <c r="H209" s="117"/>
      <c r="I209" s="104"/>
    </row>
    <row r="210" spans="1:9" ht="16.5" x14ac:dyDescent="0.3">
      <c r="A210" s="114" t="str">
        <f>Dist1</f>
        <v>Citipower</v>
      </c>
      <c r="B210" s="113"/>
      <c r="C210" s="113"/>
      <c r="D210" s="113"/>
      <c r="E210" s="113"/>
      <c r="F210" s="115"/>
      <c r="G210" s="113"/>
      <c r="H210" s="113"/>
      <c r="I210" s="104"/>
    </row>
    <row r="211" spans="1:9" ht="16.5" x14ac:dyDescent="0.3">
      <c r="A211" s="104" t="str">
        <f ca="1">'Calc (LRMC Planning case)'!$B$2</f>
        <v>Calc (LRMC Planning case)</v>
      </c>
      <c r="B211" s="137" t="s">
        <v>136</v>
      </c>
      <c r="C211" s="113" t="s">
        <v>65</v>
      </c>
      <c r="D211" s="113"/>
      <c r="E211" s="113"/>
      <c r="F211" s="137">
        <v>9.5570664841339976</v>
      </c>
      <c r="G211" s="137">
        <v>9.7811256099155486</v>
      </c>
      <c r="H211" s="137">
        <v>10.022789367269283</v>
      </c>
      <c r="I211" s="104"/>
    </row>
    <row r="212" spans="1:9" ht="16.5" x14ac:dyDescent="0.3">
      <c r="A212" s="104" t="str">
        <f ca="1">'Calc (LRMC Slow Rate)'!$B$2</f>
        <v>Calc (LRMC Slow Rate)</v>
      </c>
      <c r="B212" s="137" t="s">
        <v>136</v>
      </c>
      <c r="C212" s="113" t="s">
        <v>65</v>
      </c>
      <c r="D212" s="113"/>
      <c r="E212" s="113"/>
      <c r="F212" s="137">
        <v>9.5951001236253575</v>
      </c>
      <c r="G212" s="137">
        <v>9.8436559916423363</v>
      </c>
      <c r="H212" s="137">
        <v>10.080119891700072</v>
      </c>
      <c r="I212" s="104"/>
    </row>
    <row r="213" spans="1:9" ht="16.5" x14ac:dyDescent="0.3">
      <c r="A213" s="104" t="str">
        <f ca="1">'Calc (Market Planning Case)'!$B$2</f>
        <v>Calc (Market Planning Case)</v>
      </c>
      <c r="B213" s="137" t="s">
        <v>136</v>
      </c>
      <c r="C213" s="113" t="s">
        <v>65</v>
      </c>
      <c r="D213" s="113"/>
      <c r="E213" s="113"/>
      <c r="F213" s="137">
        <v>30.652733883810072</v>
      </c>
      <c r="G213" s="137">
        <v>33.461486033120764</v>
      </c>
      <c r="H213" s="137">
        <v>31.919241101216784</v>
      </c>
      <c r="I213" s="104"/>
    </row>
    <row r="214" spans="1:9" ht="16.5" x14ac:dyDescent="0.3">
      <c r="A214" s="104" t="str">
        <f ca="1">'Calc (Market Slow Rate)'!$B$2</f>
        <v>Calc (Market Slow Rate)</v>
      </c>
      <c r="B214" s="137" t="s">
        <v>136</v>
      </c>
      <c r="C214" s="113" t="s">
        <v>65</v>
      </c>
      <c r="D214" s="113"/>
      <c r="E214" s="113"/>
      <c r="F214" s="137">
        <v>30.964227808561951</v>
      </c>
      <c r="G214" s="137">
        <v>35.797317684663689</v>
      </c>
      <c r="H214" s="137">
        <v>32.75416130263541</v>
      </c>
      <c r="I214" s="104"/>
    </row>
    <row r="215" spans="1:9" ht="16.5" x14ac:dyDescent="0.3">
      <c r="A215" s="113"/>
      <c r="B215" s="104"/>
      <c r="C215" s="104"/>
      <c r="D215" s="104"/>
      <c r="E215" s="104"/>
      <c r="F215" s="116"/>
      <c r="G215" s="117"/>
      <c r="H215" s="117"/>
      <c r="I215" s="104"/>
    </row>
    <row r="216" spans="1:9" ht="16.5" x14ac:dyDescent="0.3">
      <c r="A216" s="54" t="str">
        <f>Dist2</f>
        <v>Powercor</v>
      </c>
      <c r="B216" s="104"/>
      <c r="C216" s="104"/>
      <c r="D216" s="104"/>
      <c r="E216" s="104"/>
      <c r="F216" s="52"/>
      <c r="G216" s="104"/>
      <c r="H216" s="104"/>
      <c r="I216" s="104"/>
    </row>
    <row r="217" spans="1:9" ht="16.5" x14ac:dyDescent="0.3">
      <c r="A217" s="104" t="str">
        <f ca="1">'Calc (LRMC Planning case)'!$B$2</f>
        <v>Calc (LRMC Planning case)</v>
      </c>
      <c r="B217" s="137" t="s">
        <v>136</v>
      </c>
      <c r="C217" s="113" t="s">
        <v>65</v>
      </c>
      <c r="D217" s="113"/>
      <c r="E217" s="113"/>
      <c r="F217" s="137">
        <v>9.547025346036861</v>
      </c>
      <c r="G217" s="137">
        <v>9.772415663453998</v>
      </c>
      <c r="H217" s="137">
        <v>10.523448301178597</v>
      </c>
      <c r="I217" s="104"/>
    </row>
    <row r="218" spans="1:9" ht="16.5" x14ac:dyDescent="0.3">
      <c r="A218" s="104" t="str">
        <f ca="1">'Calc (LRMC Slow Rate)'!$B$2</f>
        <v>Calc (LRMC Slow Rate)</v>
      </c>
      <c r="B218" s="137" t="s">
        <v>136</v>
      </c>
      <c r="C218" s="113" t="s">
        <v>65</v>
      </c>
      <c r="D218" s="113"/>
      <c r="E218" s="113"/>
      <c r="F218" s="137">
        <v>9.5768578484674123</v>
      </c>
      <c r="G218" s="137">
        <v>9.8218676946526955</v>
      </c>
      <c r="H218" s="137">
        <v>10.062042660682295</v>
      </c>
      <c r="I218" s="104"/>
    </row>
    <row r="219" spans="1:9" ht="16.5" x14ac:dyDescent="0.3">
      <c r="A219" s="104" t="str">
        <f ca="1">'Calc (Market Planning Case)'!$B$2</f>
        <v>Calc (Market Planning Case)</v>
      </c>
      <c r="B219" s="137" t="s">
        <v>136</v>
      </c>
      <c r="C219" s="113" t="s">
        <v>65</v>
      </c>
      <c r="D219" s="113"/>
      <c r="E219" s="113"/>
      <c r="F219" s="137">
        <v>29.599421323759969</v>
      </c>
      <c r="G219" s="137">
        <v>32.518640523536568</v>
      </c>
      <c r="H219" s="137">
        <v>31.189906557083326</v>
      </c>
      <c r="I219" s="104"/>
    </row>
    <row r="220" spans="1:9" ht="16.5" x14ac:dyDescent="0.3">
      <c r="A220" s="104" t="str">
        <f ca="1">'Calc (Market Slow Rate)'!$B$2</f>
        <v>Calc (Market Slow Rate)</v>
      </c>
      <c r="B220" s="137" t="s">
        <v>136</v>
      </c>
      <c r="C220" s="113" t="s">
        <v>65</v>
      </c>
      <c r="D220" s="113"/>
      <c r="E220" s="113"/>
      <c r="F220" s="137">
        <v>30.557463214503272</v>
      </c>
      <c r="G220" s="137">
        <v>35.242970179915957</v>
      </c>
      <c r="H220" s="137">
        <v>32.582233182284469</v>
      </c>
      <c r="I220" s="104"/>
    </row>
    <row r="221" spans="1:9" ht="16.5" x14ac:dyDescent="0.3">
      <c r="A221" s="118"/>
      <c r="B221" s="113"/>
      <c r="C221" s="113"/>
      <c r="D221" s="113"/>
      <c r="E221" s="104"/>
      <c r="F221" s="52"/>
      <c r="G221" s="104"/>
      <c r="H221" s="104"/>
      <c r="I221" s="104"/>
    </row>
    <row r="222" spans="1:9" ht="16.5" x14ac:dyDescent="0.3">
      <c r="A222" s="114" t="str">
        <f>Dist3</f>
        <v>SP Ausnet</v>
      </c>
      <c r="B222" s="113"/>
      <c r="C222" s="113"/>
      <c r="D222" s="113"/>
      <c r="E222" s="113"/>
      <c r="F222" s="52"/>
      <c r="G222" s="113"/>
      <c r="H222" s="113"/>
      <c r="I222" s="104"/>
    </row>
    <row r="223" spans="1:9" ht="16.5" x14ac:dyDescent="0.3">
      <c r="A223" s="104" t="str">
        <f ca="1">'Calc (LRMC Planning case)'!$B$2</f>
        <v>Calc (LRMC Planning case)</v>
      </c>
      <c r="B223" s="137" t="s">
        <v>136</v>
      </c>
      <c r="C223" s="113" t="s">
        <v>65</v>
      </c>
      <c r="D223" s="113"/>
      <c r="E223" s="113"/>
      <c r="F223" s="137">
        <v>9.5729228393261394</v>
      </c>
      <c r="G223" s="137">
        <v>9.7986232899237251</v>
      </c>
      <c r="H223" s="137">
        <v>10.042381880621591</v>
      </c>
      <c r="I223" s="104"/>
    </row>
    <row r="224" spans="1:9" ht="16.5" x14ac:dyDescent="0.3">
      <c r="A224" s="104" t="str">
        <f ca="1">'Calc (LRMC Slow Rate)'!$B$2</f>
        <v>Calc (LRMC Slow Rate)</v>
      </c>
      <c r="B224" s="137" t="s">
        <v>136</v>
      </c>
      <c r="C224" s="113" t="s">
        <v>65</v>
      </c>
      <c r="D224" s="113"/>
      <c r="E224" s="113"/>
      <c r="F224" s="137">
        <v>9.6047010439662515</v>
      </c>
      <c r="G224" s="137">
        <v>10.096786128386668</v>
      </c>
      <c r="H224" s="137">
        <v>10.091100399994758</v>
      </c>
      <c r="I224" s="104"/>
    </row>
    <row r="225" spans="1:9" ht="16.5" x14ac:dyDescent="0.3">
      <c r="A225" s="104" t="str">
        <f ca="1">'Calc (Market Planning Case)'!$B$2</f>
        <v>Calc (Market Planning Case)</v>
      </c>
      <c r="B225" s="137" t="s">
        <v>136</v>
      </c>
      <c r="C225" s="113" t="s">
        <v>65</v>
      </c>
      <c r="D225" s="113"/>
      <c r="E225" s="113"/>
      <c r="F225" s="137">
        <v>31.472481426655257</v>
      </c>
      <c r="G225" s="137">
        <v>34.131136064126032</v>
      </c>
      <c r="H225" s="137">
        <v>32.834371607973559</v>
      </c>
      <c r="I225" s="104"/>
    </row>
    <row r="226" spans="1:9" ht="16.5" x14ac:dyDescent="0.3">
      <c r="A226" s="104" t="str">
        <f ca="1">'Calc (Market Slow Rate)'!$B$2</f>
        <v>Calc (Market Slow Rate)</v>
      </c>
      <c r="B226" s="137" t="s">
        <v>136</v>
      </c>
      <c r="C226" s="113" t="s">
        <v>65</v>
      </c>
      <c r="D226" s="113"/>
      <c r="E226" s="113"/>
      <c r="F226" s="137">
        <v>30.945227179329656</v>
      </c>
      <c r="G226" s="137">
        <v>35.656619537174976</v>
      </c>
      <c r="H226" s="137">
        <v>32.864843257933835</v>
      </c>
      <c r="I226" s="104"/>
    </row>
    <row r="227" spans="1:9" ht="16.5" x14ac:dyDescent="0.3">
      <c r="A227" s="104"/>
      <c r="B227" s="104"/>
      <c r="C227" s="104"/>
      <c r="D227" s="104"/>
      <c r="E227" s="104"/>
      <c r="F227" s="52"/>
      <c r="G227" s="104"/>
      <c r="H227" s="104"/>
      <c r="I227" s="104"/>
    </row>
    <row r="228" spans="1:9" ht="16.5" x14ac:dyDescent="0.3">
      <c r="A228" s="114" t="str">
        <f>Dist4</f>
        <v>United</v>
      </c>
      <c r="B228" s="113"/>
      <c r="C228" s="113"/>
      <c r="D228" s="113"/>
      <c r="E228" s="113"/>
      <c r="F228" s="115"/>
      <c r="G228" s="113"/>
      <c r="H228" s="113"/>
      <c r="I228" s="104"/>
    </row>
    <row r="229" spans="1:9" ht="16.5" x14ac:dyDescent="0.3">
      <c r="A229" s="104" t="str">
        <f ca="1">'Calc (LRMC Planning case)'!$B$2</f>
        <v>Calc (LRMC Planning case)</v>
      </c>
      <c r="B229" s="137" t="s">
        <v>136</v>
      </c>
      <c r="C229" s="113" t="s">
        <v>65</v>
      </c>
      <c r="D229" s="113"/>
      <c r="E229" s="113"/>
      <c r="F229" s="137">
        <v>9.5938762402140014</v>
      </c>
      <c r="G229" s="137">
        <v>9.8185313793069895</v>
      </c>
      <c r="H229" s="137">
        <v>10.060512885598726</v>
      </c>
      <c r="I229" s="104"/>
    </row>
    <row r="230" spans="1:9" ht="16.5" x14ac:dyDescent="0.3">
      <c r="A230" s="104" t="str">
        <f ca="1">'Calc (LRMC Slow Rate)'!$B$2</f>
        <v>Calc (LRMC Slow Rate)</v>
      </c>
      <c r="B230" s="137" t="s">
        <v>136</v>
      </c>
      <c r="C230" s="113" t="s">
        <v>65</v>
      </c>
      <c r="D230" s="113"/>
      <c r="E230" s="113"/>
      <c r="F230" s="137">
        <v>9.6319767952054178</v>
      </c>
      <c r="G230" s="137">
        <v>9.8812563639695981</v>
      </c>
      <c r="H230" s="137">
        <v>10.118856493145046</v>
      </c>
      <c r="I230" s="104"/>
    </row>
    <row r="231" spans="1:9" ht="16.5" x14ac:dyDescent="0.3">
      <c r="A231" s="104" t="str">
        <f ca="1">'Calc (Market Planning Case)'!$B$2</f>
        <v>Calc (Market Planning Case)</v>
      </c>
      <c r="B231" s="137" t="s">
        <v>136</v>
      </c>
      <c r="C231" s="113" t="s">
        <v>65</v>
      </c>
      <c r="D231" s="113"/>
      <c r="E231" s="113"/>
      <c r="F231" s="137">
        <v>31.286226795850617</v>
      </c>
      <c r="G231" s="137">
        <v>34.199437013729955</v>
      </c>
      <c r="H231" s="137">
        <v>32.612017055719718</v>
      </c>
      <c r="I231" s="104"/>
    </row>
    <row r="232" spans="1:9" ht="16.5" x14ac:dyDescent="0.3">
      <c r="A232" s="104" t="str">
        <f ca="1">'Calc (Market Slow Rate)'!$B$2</f>
        <v>Calc (Market Slow Rate)</v>
      </c>
      <c r="B232" s="137" t="s">
        <v>136</v>
      </c>
      <c r="C232" s="113" t="s">
        <v>65</v>
      </c>
      <c r="D232" s="113"/>
      <c r="E232" s="113"/>
      <c r="F232" s="137">
        <v>31.569569103678745</v>
      </c>
      <c r="G232" s="137">
        <v>36.500470495069621</v>
      </c>
      <c r="H232" s="137">
        <v>33.477164895130656</v>
      </c>
      <c r="I232" s="104"/>
    </row>
    <row r="233" spans="1:9" ht="16.5" x14ac:dyDescent="0.3">
      <c r="A233" s="104"/>
      <c r="B233" s="104"/>
      <c r="C233" s="104"/>
      <c r="D233" s="104"/>
      <c r="E233" s="104"/>
      <c r="F233" s="52"/>
      <c r="G233" s="104"/>
      <c r="H233" s="104"/>
      <c r="I233" s="104"/>
    </row>
    <row r="234" spans="1:9" ht="16.5" x14ac:dyDescent="0.3">
      <c r="A234" s="114" t="str">
        <f>Dist5</f>
        <v>Jemena</v>
      </c>
      <c r="B234" s="113"/>
      <c r="C234" s="113"/>
      <c r="D234" s="113"/>
      <c r="E234" s="113"/>
      <c r="F234" s="115"/>
      <c r="G234" s="113"/>
      <c r="H234" s="113"/>
      <c r="I234" s="104"/>
    </row>
    <row r="235" spans="1:9" ht="16.5" x14ac:dyDescent="0.3">
      <c r="A235" s="104" t="str">
        <f ca="1">'Calc (LRMC Planning case)'!$B$2</f>
        <v>Calc (LRMC Planning case)</v>
      </c>
      <c r="B235" s="137" t="s">
        <v>136</v>
      </c>
      <c r="C235" s="113" t="s">
        <v>65</v>
      </c>
      <c r="D235" s="113"/>
      <c r="E235" s="113"/>
      <c r="F235" s="137">
        <v>9.587671418097699</v>
      </c>
      <c r="G235" s="137">
        <v>9.8119059426267654</v>
      </c>
      <c r="H235" s="137">
        <v>10.052752213870193</v>
      </c>
      <c r="I235" s="104"/>
    </row>
    <row r="236" spans="1:9" ht="16.5" x14ac:dyDescent="0.3">
      <c r="A236" s="104" t="str">
        <f ca="1">'Calc (LRMC Slow Rate)'!$B$2</f>
        <v>Calc (LRMC Slow Rate)</v>
      </c>
      <c r="B236" s="137" t="s">
        <v>136</v>
      </c>
      <c r="C236" s="113" t="s">
        <v>65</v>
      </c>
      <c r="D236" s="113"/>
      <c r="E236" s="113"/>
      <c r="F236" s="137">
        <v>9.6271063707553566</v>
      </c>
      <c r="G236" s="137">
        <v>9.8761514733876794</v>
      </c>
      <c r="H236" s="137">
        <v>10.113580173851631</v>
      </c>
      <c r="I236" s="104"/>
    </row>
    <row r="237" spans="1:9" ht="16.5" x14ac:dyDescent="0.3">
      <c r="A237" s="104" t="str">
        <f ca="1">'Calc (Market Planning Case)'!$B$2</f>
        <v>Calc (Market Planning Case)</v>
      </c>
      <c r="B237" s="137" t="s">
        <v>136</v>
      </c>
      <c r="C237" s="113" t="s">
        <v>65</v>
      </c>
      <c r="D237" s="113"/>
      <c r="E237" s="113"/>
      <c r="F237" s="137">
        <v>32.849932744801315</v>
      </c>
      <c r="G237" s="137">
        <v>39.239097232308794</v>
      </c>
      <c r="H237" s="137">
        <v>40.58865123413544</v>
      </c>
      <c r="I237" s="104"/>
    </row>
    <row r="238" spans="1:9" ht="16.5" x14ac:dyDescent="0.3">
      <c r="A238" s="104" t="str">
        <f ca="1">'Calc (Market Slow Rate)'!$B$2</f>
        <v>Calc (Market Slow Rate)</v>
      </c>
      <c r="B238" s="137" t="s">
        <v>136</v>
      </c>
      <c r="C238" s="113" t="s">
        <v>65</v>
      </c>
      <c r="D238" s="113"/>
      <c r="E238" s="113"/>
      <c r="F238" s="137">
        <v>31.636030875514123</v>
      </c>
      <c r="G238" s="137">
        <v>36.603919839220097</v>
      </c>
      <c r="H238" s="137">
        <v>33.552279896295133</v>
      </c>
      <c r="I238" s="104"/>
    </row>
    <row r="239" spans="1:9" ht="16.5" x14ac:dyDescent="0.3">
      <c r="A239" s="104"/>
      <c r="B239" s="113"/>
      <c r="C239" s="113"/>
      <c r="D239" s="113"/>
      <c r="E239" s="113"/>
      <c r="F239" s="55"/>
      <c r="G239" s="55"/>
      <c r="H239" s="55"/>
      <c r="I239" s="55"/>
    </row>
    <row r="240" spans="1:9" ht="16.5" x14ac:dyDescent="0.3">
      <c r="A240" s="46" t="s">
        <v>15</v>
      </c>
      <c r="B240" s="113"/>
      <c r="C240" s="113"/>
      <c r="D240" s="113"/>
      <c r="E240" s="113"/>
      <c r="F240" s="55"/>
      <c r="G240" s="55"/>
      <c r="H240" s="55"/>
      <c r="I240" s="104"/>
    </row>
    <row r="241" spans="1:9" ht="16.5" x14ac:dyDescent="0.3">
      <c r="A241" s="114" t="str">
        <f>Dist1</f>
        <v>Citipower</v>
      </c>
      <c r="B241" s="113"/>
      <c r="C241" s="113"/>
      <c r="D241" s="113"/>
      <c r="E241" s="113"/>
      <c r="F241" s="117"/>
      <c r="G241" s="117"/>
      <c r="H241" s="117"/>
      <c r="I241" s="104"/>
    </row>
    <row r="242" spans="1:9" ht="16.5" x14ac:dyDescent="0.3">
      <c r="A242" s="104" t="str">
        <f ca="1">'Calc (LRMC Planning case)'!$B$2</f>
        <v>Calc (LRMC Planning case)</v>
      </c>
      <c r="B242" s="137" t="s">
        <v>136</v>
      </c>
      <c r="C242" s="113" t="s">
        <v>65</v>
      </c>
      <c r="D242" s="113"/>
      <c r="E242" s="113"/>
      <c r="F242" s="137">
        <v>4.0127635803244015</v>
      </c>
      <c r="G242" s="137">
        <v>4.1950273702907568</v>
      </c>
      <c r="H242" s="137">
        <v>4.3340017230119967</v>
      </c>
      <c r="I242" s="104"/>
    </row>
    <row r="243" spans="1:9" ht="16.5" x14ac:dyDescent="0.3">
      <c r="A243" s="104" t="str">
        <f ca="1">'Calc (LRMC Slow Rate)'!$B$2</f>
        <v>Calc (LRMC Slow Rate)</v>
      </c>
      <c r="B243" s="137" t="s">
        <v>136</v>
      </c>
      <c r="C243" s="113" t="s">
        <v>65</v>
      </c>
      <c r="D243" s="113"/>
      <c r="E243" s="113"/>
      <c r="F243" s="137">
        <v>7.0246621356844301</v>
      </c>
      <c r="G243" s="137">
        <v>7.3437296708225333</v>
      </c>
      <c r="H243" s="137">
        <v>7.5870142040638697</v>
      </c>
      <c r="I243" s="104"/>
    </row>
    <row r="244" spans="1:9" ht="16.5" x14ac:dyDescent="0.3">
      <c r="A244" s="104" t="str">
        <f ca="1">'Calc (Market Planning Case)'!$B$2</f>
        <v>Calc (Market Planning Case)</v>
      </c>
      <c r="B244" s="105" t="s">
        <v>36</v>
      </c>
      <c r="C244" s="113" t="s">
        <v>65</v>
      </c>
      <c r="D244" s="113"/>
      <c r="E244" s="113"/>
      <c r="F244" s="119">
        <f>F242</f>
        <v>4.0127635803244015</v>
      </c>
      <c r="G244" s="119">
        <f>G242</f>
        <v>4.1950273702907568</v>
      </c>
      <c r="H244" s="119">
        <f t="shared" ref="G244:H245" si="32">H242</f>
        <v>4.3340017230119967</v>
      </c>
      <c r="I244" s="104"/>
    </row>
    <row r="245" spans="1:9" ht="16.5" x14ac:dyDescent="0.3">
      <c r="A245" s="104" t="str">
        <f ca="1">'Calc (Market Slow Rate)'!$B$2</f>
        <v>Calc (Market Slow Rate)</v>
      </c>
      <c r="B245" s="105" t="s">
        <v>36</v>
      </c>
      <c r="C245" s="113" t="s">
        <v>65</v>
      </c>
      <c r="D245" s="113"/>
      <c r="E245" s="113"/>
      <c r="F245" s="119">
        <f t="shared" ref="F245" si="33">F243</f>
        <v>7.0246621356844301</v>
      </c>
      <c r="G245" s="119">
        <f t="shared" si="32"/>
        <v>7.3437296708225333</v>
      </c>
      <c r="H245" s="119">
        <f t="shared" si="32"/>
        <v>7.5870142040638697</v>
      </c>
      <c r="I245" s="104"/>
    </row>
    <row r="246" spans="1:9" ht="16.5" x14ac:dyDescent="0.3">
      <c r="A246" s="104"/>
      <c r="B246" s="113"/>
      <c r="C246" s="113"/>
      <c r="D246" s="113"/>
      <c r="E246" s="113"/>
      <c r="F246" s="113"/>
      <c r="G246" s="113"/>
      <c r="H246" s="113"/>
      <c r="I246" s="104"/>
    </row>
    <row r="247" spans="1:9" ht="16.5" x14ac:dyDescent="0.3">
      <c r="A247" s="114" t="str">
        <f>Dist2</f>
        <v>Powercor</v>
      </c>
      <c r="B247" s="113"/>
      <c r="C247" s="113"/>
      <c r="D247" s="113"/>
      <c r="E247" s="113"/>
      <c r="F247" s="117"/>
      <c r="G247" s="117"/>
      <c r="H247" s="117"/>
      <c r="I247" s="104"/>
    </row>
    <row r="248" spans="1:9" ht="16.5" x14ac:dyDescent="0.3">
      <c r="A248" s="104" t="str">
        <f ca="1">'Calc (LRMC Planning case)'!$B$2</f>
        <v>Calc (LRMC Planning case)</v>
      </c>
      <c r="B248" s="137" t="s">
        <v>136</v>
      </c>
      <c r="C248" s="113" t="s">
        <v>65</v>
      </c>
      <c r="D248" s="113"/>
      <c r="E248" s="113"/>
      <c r="F248" s="137">
        <v>4.0127635803244015</v>
      </c>
      <c r="G248" s="137">
        <v>4.1950273702907568</v>
      </c>
      <c r="H248" s="137">
        <v>4.3340017230119967</v>
      </c>
      <c r="I248" s="104"/>
    </row>
    <row r="249" spans="1:9" ht="16.5" x14ac:dyDescent="0.3">
      <c r="A249" s="104" t="str">
        <f ca="1">'Calc (LRMC Slow Rate)'!$B$2</f>
        <v>Calc (LRMC Slow Rate)</v>
      </c>
      <c r="B249" s="137" t="s">
        <v>136</v>
      </c>
      <c r="C249" s="113" t="s">
        <v>65</v>
      </c>
      <c r="D249" s="113"/>
      <c r="E249" s="113"/>
      <c r="F249" s="137">
        <v>7.0246621356844328</v>
      </c>
      <c r="G249" s="137">
        <v>7.3437296708225333</v>
      </c>
      <c r="H249" s="137">
        <v>7.5870142040638697</v>
      </c>
      <c r="I249" s="104"/>
    </row>
    <row r="250" spans="1:9" ht="16.5" x14ac:dyDescent="0.3">
      <c r="A250" s="104" t="str">
        <f ca="1">'Calc (Market Planning Case)'!$B$2</f>
        <v>Calc (Market Planning Case)</v>
      </c>
      <c r="B250" s="105" t="s">
        <v>36</v>
      </c>
      <c r="C250" s="113" t="s">
        <v>65</v>
      </c>
      <c r="D250" s="113"/>
      <c r="E250" s="113"/>
      <c r="F250" s="119">
        <f t="shared" ref="F250:H251" si="34">F248</f>
        <v>4.0127635803244015</v>
      </c>
      <c r="G250" s="119">
        <f t="shared" si="34"/>
        <v>4.1950273702907568</v>
      </c>
      <c r="H250" s="119">
        <f t="shared" si="34"/>
        <v>4.3340017230119967</v>
      </c>
      <c r="I250" s="104"/>
    </row>
    <row r="251" spans="1:9" ht="16.5" x14ac:dyDescent="0.3">
      <c r="A251" s="104" t="str">
        <f ca="1">'Calc (Market Slow Rate)'!$B$2</f>
        <v>Calc (Market Slow Rate)</v>
      </c>
      <c r="B251" s="105" t="s">
        <v>36</v>
      </c>
      <c r="C251" s="113" t="s">
        <v>65</v>
      </c>
      <c r="D251" s="113"/>
      <c r="E251" s="113"/>
      <c r="F251" s="119">
        <f t="shared" si="34"/>
        <v>7.0246621356844328</v>
      </c>
      <c r="G251" s="119">
        <f t="shared" si="34"/>
        <v>7.3437296708225333</v>
      </c>
      <c r="H251" s="119">
        <f t="shared" si="34"/>
        <v>7.5870142040638697</v>
      </c>
      <c r="I251" s="104"/>
    </row>
    <row r="252" spans="1:9" ht="16.5" x14ac:dyDescent="0.3">
      <c r="A252" s="104"/>
      <c r="B252" s="113"/>
      <c r="C252" s="113"/>
      <c r="D252" s="113"/>
      <c r="E252" s="113"/>
      <c r="F252" s="117"/>
      <c r="G252" s="56"/>
      <c r="H252" s="56"/>
      <c r="I252" s="104"/>
    </row>
    <row r="253" spans="1:9" ht="16.5" x14ac:dyDescent="0.3">
      <c r="A253" s="114" t="str">
        <f>Dist3</f>
        <v>SP Ausnet</v>
      </c>
      <c r="B253" s="113"/>
      <c r="C253" s="113"/>
      <c r="D253" s="113"/>
      <c r="E253" s="113"/>
      <c r="F253" s="117"/>
      <c r="G253" s="117"/>
      <c r="H253" s="117"/>
      <c r="I253" s="104"/>
    </row>
    <row r="254" spans="1:9" ht="16.5" x14ac:dyDescent="0.3">
      <c r="A254" s="104" t="str">
        <f ca="1">'Calc (LRMC Planning case)'!$B$2</f>
        <v>Calc (LRMC Planning case)</v>
      </c>
      <c r="B254" s="137" t="s">
        <v>136</v>
      </c>
      <c r="C254" s="113" t="s">
        <v>65</v>
      </c>
      <c r="D254" s="113"/>
      <c r="E254" s="113"/>
      <c r="F254" s="137">
        <v>4.0127635803244015</v>
      </c>
      <c r="G254" s="137">
        <v>4.1950273702907568</v>
      </c>
      <c r="H254" s="137">
        <v>4.3340017230119967</v>
      </c>
      <c r="I254" s="104"/>
    </row>
    <row r="255" spans="1:9" ht="16.5" x14ac:dyDescent="0.3">
      <c r="A255" s="104" t="str">
        <f ca="1">'Calc (LRMC Slow Rate)'!$B$2</f>
        <v>Calc (LRMC Slow Rate)</v>
      </c>
      <c r="B255" s="137" t="s">
        <v>136</v>
      </c>
      <c r="C255" s="113" t="s">
        <v>65</v>
      </c>
      <c r="D255" s="113"/>
      <c r="E255" s="113"/>
      <c r="F255" s="137">
        <v>7.0246621356844328</v>
      </c>
      <c r="G255" s="137">
        <v>7.527322912593096</v>
      </c>
      <c r="H255" s="137">
        <v>7.5870142040638697</v>
      </c>
      <c r="I255" s="104"/>
    </row>
    <row r="256" spans="1:9" ht="16.5" x14ac:dyDescent="0.3">
      <c r="A256" s="104" t="str">
        <f ca="1">'Calc (Market Planning Case)'!$B$2</f>
        <v>Calc (Market Planning Case)</v>
      </c>
      <c r="B256" s="105" t="s">
        <v>36</v>
      </c>
      <c r="C256" s="113" t="s">
        <v>65</v>
      </c>
      <c r="D256" s="113"/>
      <c r="E256" s="113"/>
      <c r="F256" s="119">
        <f t="shared" ref="F256:H257" si="35">F254</f>
        <v>4.0127635803244015</v>
      </c>
      <c r="G256" s="119">
        <f t="shared" si="35"/>
        <v>4.1950273702907568</v>
      </c>
      <c r="H256" s="119">
        <f t="shared" si="35"/>
        <v>4.3340017230119967</v>
      </c>
      <c r="I256" s="104"/>
    </row>
    <row r="257" spans="1:9" ht="16.5" x14ac:dyDescent="0.3">
      <c r="A257" s="104" t="str">
        <f ca="1">'Calc (Market Slow Rate)'!$B$2</f>
        <v>Calc (Market Slow Rate)</v>
      </c>
      <c r="B257" s="105" t="s">
        <v>36</v>
      </c>
      <c r="C257" s="113" t="s">
        <v>65</v>
      </c>
      <c r="D257" s="113"/>
      <c r="E257" s="113"/>
      <c r="F257" s="119">
        <f t="shared" si="35"/>
        <v>7.0246621356844328</v>
      </c>
      <c r="G257" s="119">
        <f t="shared" si="35"/>
        <v>7.527322912593096</v>
      </c>
      <c r="H257" s="119">
        <f t="shared" si="35"/>
        <v>7.5870142040638697</v>
      </c>
      <c r="I257" s="104"/>
    </row>
    <row r="258" spans="1:9" ht="16.5" x14ac:dyDescent="0.3">
      <c r="A258" s="104"/>
      <c r="B258" s="113"/>
      <c r="C258" s="113"/>
      <c r="D258" s="113"/>
      <c r="E258" s="113"/>
      <c r="F258" s="117"/>
      <c r="G258" s="56"/>
      <c r="H258" s="56"/>
      <c r="I258" s="104"/>
    </row>
    <row r="259" spans="1:9" ht="16.5" x14ac:dyDescent="0.3">
      <c r="A259" s="114" t="str">
        <f>Dist4</f>
        <v>United</v>
      </c>
      <c r="B259" s="113"/>
      <c r="C259" s="113"/>
      <c r="D259" s="113"/>
      <c r="E259" s="113"/>
      <c r="F259" s="117"/>
      <c r="G259" s="117"/>
      <c r="H259" s="117"/>
      <c r="I259" s="104"/>
    </row>
    <row r="260" spans="1:9" ht="16.5" x14ac:dyDescent="0.3">
      <c r="A260" s="104" t="str">
        <f ca="1">'Calc (LRMC Planning case)'!$B$2</f>
        <v>Calc (LRMC Planning case)</v>
      </c>
      <c r="B260" s="137" t="s">
        <v>136</v>
      </c>
      <c r="C260" s="113" t="s">
        <v>65</v>
      </c>
      <c r="D260" s="113"/>
      <c r="E260" s="113"/>
      <c r="F260" s="137">
        <v>4.0127635803244015</v>
      </c>
      <c r="G260" s="137">
        <v>4.1950273702907568</v>
      </c>
      <c r="H260" s="137">
        <v>4.3340017230119967</v>
      </c>
      <c r="I260" s="104"/>
    </row>
    <row r="261" spans="1:9" ht="16.5" x14ac:dyDescent="0.3">
      <c r="A261" s="104" t="str">
        <f ca="1">'Calc (LRMC Slow Rate)'!$B$2</f>
        <v>Calc (LRMC Slow Rate)</v>
      </c>
      <c r="B261" s="137" t="s">
        <v>136</v>
      </c>
      <c r="C261" s="113" t="s">
        <v>65</v>
      </c>
      <c r="D261" s="113"/>
      <c r="E261" s="113"/>
      <c r="F261" s="137">
        <v>7.0246621356844328</v>
      </c>
      <c r="G261" s="137">
        <v>7.3437296708225333</v>
      </c>
      <c r="H261" s="137">
        <v>7.5870142040638697</v>
      </c>
      <c r="I261" s="104"/>
    </row>
    <row r="262" spans="1:9" ht="16.5" x14ac:dyDescent="0.3">
      <c r="A262" s="104" t="str">
        <f ca="1">'Calc (Market Planning Case)'!$B$2</f>
        <v>Calc (Market Planning Case)</v>
      </c>
      <c r="B262" s="105" t="s">
        <v>36</v>
      </c>
      <c r="C262" s="113" t="s">
        <v>65</v>
      </c>
      <c r="D262" s="113"/>
      <c r="E262" s="113"/>
      <c r="F262" s="119">
        <f t="shared" ref="F262:H263" si="36">F260</f>
        <v>4.0127635803244015</v>
      </c>
      <c r="G262" s="119">
        <f>G260</f>
        <v>4.1950273702907568</v>
      </c>
      <c r="H262" s="119">
        <f>H260</f>
        <v>4.3340017230119967</v>
      </c>
      <c r="I262" s="104"/>
    </row>
    <row r="263" spans="1:9" ht="16.5" x14ac:dyDescent="0.3">
      <c r="A263" s="104" t="str">
        <f ca="1">'Calc (Market Slow Rate)'!$B$2</f>
        <v>Calc (Market Slow Rate)</v>
      </c>
      <c r="B263" s="105" t="s">
        <v>36</v>
      </c>
      <c r="C263" s="113" t="s">
        <v>65</v>
      </c>
      <c r="D263" s="113"/>
      <c r="E263" s="113"/>
      <c r="F263" s="119">
        <f t="shared" si="36"/>
        <v>7.0246621356844328</v>
      </c>
      <c r="G263" s="119">
        <f t="shared" si="36"/>
        <v>7.3437296708225333</v>
      </c>
      <c r="H263" s="119">
        <f t="shared" si="36"/>
        <v>7.5870142040638697</v>
      </c>
      <c r="I263" s="104"/>
    </row>
    <row r="264" spans="1:9" ht="16.5" x14ac:dyDescent="0.3">
      <c r="A264" s="104"/>
      <c r="B264" s="113"/>
      <c r="C264" s="113"/>
      <c r="D264" s="113"/>
      <c r="E264" s="113"/>
      <c r="F264" s="117"/>
      <c r="G264" s="56"/>
      <c r="H264" s="56"/>
      <c r="I264" s="104"/>
    </row>
    <row r="265" spans="1:9" ht="16.5" x14ac:dyDescent="0.3">
      <c r="A265" s="114" t="str">
        <f>Dist5</f>
        <v>Jemena</v>
      </c>
      <c r="B265" s="113"/>
      <c r="C265" s="113"/>
      <c r="D265" s="113"/>
      <c r="E265" s="113"/>
      <c r="F265" s="117"/>
      <c r="G265" s="117"/>
      <c r="H265" s="117"/>
      <c r="I265" s="104"/>
    </row>
    <row r="266" spans="1:9" ht="16.5" x14ac:dyDescent="0.3">
      <c r="A266" s="104" t="str">
        <f ca="1">'Calc (LRMC Planning case)'!$B$2</f>
        <v>Calc (LRMC Planning case)</v>
      </c>
      <c r="B266" s="137" t="s">
        <v>136</v>
      </c>
      <c r="C266" s="113" t="s">
        <v>65</v>
      </c>
      <c r="D266" s="113"/>
      <c r="E266" s="113"/>
      <c r="F266" s="137">
        <v>4.0127635803244015</v>
      </c>
      <c r="G266" s="137">
        <v>4.1950273702907568</v>
      </c>
      <c r="H266" s="137">
        <v>4.3340017230119967</v>
      </c>
      <c r="I266" s="104"/>
    </row>
    <row r="267" spans="1:9" ht="16.5" x14ac:dyDescent="0.3">
      <c r="A267" s="104" t="str">
        <f ca="1">'Calc (LRMC Slow Rate)'!$B$2</f>
        <v>Calc (LRMC Slow Rate)</v>
      </c>
      <c r="B267" s="137" t="s">
        <v>136</v>
      </c>
      <c r="C267" s="113" t="s">
        <v>65</v>
      </c>
      <c r="D267" s="113"/>
      <c r="E267" s="113"/>
      <c r="F267" s="137">
        <v>7.0246621356844328</v>
      </c>
      <c r="G267" s="137">
        <v>7.3437296708225333</v>
      </c>
      <c r="H267" s="137">
        <v>7.5870142040638697</v>
      </c>
      <c r="I267" s="104"/>
    </row>
    <row r="268" spans="1:9" ht="16.5" x14ac:dyDescent="0.3">
      <c r="A268" s="104" t="str">
        <f ca="1">'Calc (Market Planning Case)'!$B$2</f>
        <v>Calc (Market Planning Case)</v>
      </c>
      <c r="B268" s="105" t="s">
        <v>36</v>
      </c>
      <c r="C268" s="113" t="s">
        <v>65</v>
      </c>
      <c r="D268" s="113"/>
      <c r="E268" s="113"/>
      <c r="F268" s="119">
        <f t="shared" ref="F268:H269" si="37">F266</f>
        <v>4.0127635803244015</v>
      </c>
      <c r="G268" s="119">
        <f>G266</f>
        <v>4.1950273702907568</v>
      </c>
      <c r="H268" s="119">
        <f>H266</f>
        <v>4.3340017230119967</v>
      </c>
      <c r="I268" s="104"/>
    </row>
    <row r="269" spans="1:9" ht="16.5" x14ac:dyDescent="0.3">
      <c r="A269" s="104" t="str">
        <f ca="1">'Calc (Market Slow Rate)'!$B$2</f>
        <v>Calc (Market Slow Rate)</v>
      </c>
      <c r="B269" s="105" t="s">
        <v>36</v>
      </c>
      <c r="C269" s="113" t="s">
        <v>65</v>
      </c>
      <c r="D269" s="113"/>
      <c r="E269" s="113"/>
      <c r="F269" s="119">
        <f t="shared" si="37"/>
        <v>7.0246621356844328</v>
      </c>
      <c r="G269" s="119">
        <f t="shared" si="37"/>
        <v>7.3437296708225333</v>
      </c>
      <c r="H269" s="119">
        <f t="shared" si="37"/>
        <v>7.5870142040638697</v>
      </c>
      <c r="I269" s="104"/>
    </row>
    <row r="270" spans="1:9" ht="16.5" x14ac:dyDescent="0.3">
      <c r="A270" s="113"/>
      <c r="B270" s="104"/>
      <c r="C270" s="104"/>
      <c r="D270" s="104"/>
      <c r="E270" s="104"/>
      <c r="F270" s="117"/>
      <c r="G270" s="117"/>
      <c r="H270" s="117"/>
      <c r="I270" s="104"/>
    </row>
    <row r="271" spans="1:9" ht="16.5" x14ac:dyDescent="0.3">
      <c r="A271" s="110" t="s">
        <v>16</v>
      </c>
      <c r="B271" s="104"/>
      <c r="C271" s="104"/>
      <c r="D271" s="104"/>
      <c r="E271" s="104"/>
      <c r="F271" s="117"/>
      <c r="G271" s="117"/>
      <c r="H271" s="117"/>
      <c r="I271" s="104"/>
    </row>
    <row r="272" spans="1:9" ht="16.5" x14ac:dyDescent="0.3">
      <c r="A272" s="54" t="str">
        <f>Dist1</f>
        <v>Citipower</v>
      </c>
      <c r="B272" s="137" t="s">
        <v>136</v>
      </c>
      <c r="C272" s="113" t="s">
        <v>65</v>
      </c>
      <c r="D272" s="113"/>
      <c r="E272" s="113"/>
      <c r="F272" s="137">
        <v>6.365328703779924</v>
      </c>
      <c r="G272" s="137">
        <v>2.7332124780509299</v>
      </c>
      <c r="H272" s="137">
        <v>2.3170865285401501</v>
      </c>
      <c r="I272" s="104"/>
    </row>
    <row r="273" spans="1:9" ht="16.5" x14ac:dyDescent="0.3">
      <c r="A273" s="54" t="str">
        <f>Dist2</f>
        <v>Powercor</v>
      </c>
      <c r="B273" s="137" t="s">
        <v>136</v>
      </c>
      <c r="C273" s="113" t="s">
        <v>65</v>
      </c>
      <c r="D273" s="113"/>
      <c r="E273" s="113"/>
      <c r="F273" s="137">
        <v>6.365328703779924</v>
      </c>
      <c r="G273" s="137">
        <v>2.7332124780509255</v>
      </c>
      <c r="H273" s="137">
        <v>2.3170865285401496</v>
      </c>
      <c r="I273" s="104"/>
    </row>
    <row r="274" spans="1:9" ht="16.5" x14ac:dyDescent="0.3">
      <c r="A274" s="54" t="str">
        <f>Dist3</f>
        <v>SP Ausnet</v>
      </c>
      <c r="B274" s="137" t="s">
        <v>136</v>
      </c>
      <c r="C274" s="113" t="s">
        <v>65</v>
      </c>
      <c r="D274" s="113"/>
      <c r="E274" s="113"/>
      <c r="F274" s="137">
        <v>6.365328703779924</v>
      </c>
      <c r="G274" s="137">
        <v>2.7332124780509255</v>
      </c>
      <c r="H274" s="137">
        <v>2.3170865285401496</v>
      </c>
      <c r="I274" s="104"/>
    </row>
    <row r="275" spans="1:9" ht="16.5" x14ac:dyDescent="0.3">
      <c r="A275" s="54" t="str">
        <f>Dist4</f>
        <v>United</v>
      </c>
      <c r="B275" s="137" t="s">
        <v>136</v>
      </c>
      <c r="C275" s="113" t="s">
        <v>65</v>
      </c>
      <c r="D275" s="113"/>
      <c r="E275" s="113"/>
      <c r="F275" s="137">
        <v>6.365328703779924</v>
      </c>
      <c r="G275" s="137">
        <v>2.7332124780509255</v>
      </c>
      <c r="H275" s="137">
        <v>2.3170865285401496</v>
      </c>
      <c r="I275" s="104"/>
    </row>
    <row r="276" spans="1:9" ht="16.5" x14ac:dyDescent="0.3">
      <c r="A276" s="54" t="str">
        <f>Dist5</f>
        <v>Jemena</v>
      </c>
      <c r="B276" s="137" t="s">
        <v>136</v>
      </c>
      <c r="C276" s="113" t="s">
        <v>65</v>
      </c>
      <c r="D276" s="113"/>
      <c r="E276" s="113"/>
      <c r="F276" s="137">
        <v>6.365328703779924</v>
      </c>
      <c r="G276" s="137">
        <v>2.7332124780509255</v>
      </c>
      <c r="H276" s="137">
        <v>2.3170865285401496</v>
      </c>
      <c r="I276" s="104"/>
    </row>
    <row r="277" spans="1:9" ht="16.5" x14ac:dyDescent="0.3">
      <c r="A277" s="54"/>
      <c r="B277" s="113"/>
      <c r="C277" s="113"/>
      <c r="D277" s="113"/>
      <c r="E277" s="113"/>
      <c r="F277" s="113"/>
      <c r="G277" s="113"/>
      <c r="H277" s="113"/>
      <c r="I277" s="113"/>
    </row>
    <row r="278" spans="1:9" ht="16.5" x14ac:dyDescent="0.3">
      <c r="A278" s="110" t="str">
        <f>Scheme1</f>
        <v>Energy Saver Incentive</v>
      </c>
      <c r="B278" s="104"/>
      <c r="C278" s="104"/>
      <c r="D278" s="104"/>
      <c r="E278" s="104"/>
      <c r="F278" s="117"/>
      <c r="G278" s="117"/>
      <c r="H278" s="117"/>
      <c r="I278" s="104"/>
    </row>
    <row r="279" spans="1:9" ht="16.5" x14ac:dyDescent="0.3">
      <c r="A279" s="54" t="str">
        <f>Dist1</f>
        <v>Citipower</v>
      </c>
      <c r="B279" s="113"/>
      <c r="C279" s="104"/>
      <c r="D279" s="113"/>
      <c r="E279" s="113"/>
      <c r="F279" s="117"/>
      <c r="G279" s="117"/>
      <c r="H279" s="117"/>
      <c r="I279" s="104"/>
    </row>
    <row r="280" spans="1:9" ht="16.5" x14ac:dyDescent="0.3">
      <c r="A280" s="104" t="str">
        <f ca="1">'Calc (LRMC Planning case)'!$B$2</f>
        <v>Calc (LRMC Planning case)</v>
      </c>
      <c r="B280" s="137"/>
      <c r="C280" s="113" t="s">
        <v>65</v>
      </c>
      <c r="D280" s="113"/>
      <c r="E280" s="113"/>
      <c r="F280" s="137"/>
      <c r="G280" s="137"/>
      <c r="H280" s="137"/>
      <c r="I280" s="104"/>
    </row>
    <row r="281" spans="1:9" ht="16.5" x14ac:dyDescent="0.3">
      <c r="A281" s="104" t="str">
        <f ca="1">'Calc (LRMC Slow Rate)'!$B$2</f>
        <v>Calc (LRMC Slow Rate)</v>
      </c>
      <c r="B281" s="137"/>
      <c r="C281" s="113" t="s">
        <v>65</v>
      </c>
      <c r="D281" s="113"/>
      <c r="E281" s="113"/>
      <c r="F281" s="137"/>
      <c r="G281" s="137"/>
      <c r="H281" s="137"/>
      <c r="I281" s="104"/>
    </row>
    <row r="282" spans="1:9" ht="16.5" x14ac:dyDescent="0.3">
      <c r="A282" s="104" t="str">
        <f ca="1">'Calc (Market Planning Case)'!$B$2</f>
        <v>Calc (Market Planning Case)</v>
      </c>
      <c r="B282" s="137"/>
      <c r="C282" s="113" t="s">
        <v>65</v>
      </c>
      <c r="D282" s="113"/>
      <c r="E282" s="113"/>
      <c r="F282" s="137"/>
      <c r="G282" s="137"/>
      <c r="H282" s="137"/>
      <c r="I282" s="104"/>
    </row>
    <row r="283" spans="1:9" ht="16.5" x14ac:dyDescent="0.3">
      <c r="A283" s="104" t="str">
        <f ca="1">'Calc (Market Slow Rate)'!$B$2</f>
        <v>Calc (Market Slow Rate)</v>
      </c>
      <c r="B283" s="137"/>
      <c r="C283" s="113" t="s">
        <v>65</v>
      </c>
      <c r="D283" s="113"/>
      <c r="E283" s="113"/>
      <c r="F283" s="137"/>
      <c r="G283" s="137"/>
      <c r="H283" s="137"/>
      <c r="I283" s="104"/>
    </row>
    <row r="284" spans="1:9" ht="16.5" x14ac:dyDescent="0.3">
      <c r="A284" s="54"/>
      <c r="B284" s="113"/>
      <c r="C284" s="113"/>
      <c r="D284" s="113"/>
      <c r="E284" s="113"/>
      <c r="F284" s="117"/>
      <c r="G284" s="117"/>
      <c r="H284" s="117"/>
      <c r="I284" s="104"/>
    </row>
    <row r="285" spans="1:9" ht="16.5" x14ac:dyDescent="0.3">
      <c r="A285" s="54" t="str">
        <f>Dist2</f>
        <v>Powercor</v>
      </c>
      <c r="B285" s="113"/>
      <c r="C285" s="104"/>
      <c r="D285" s="113"/>
      <c r="E285" s="113"/>
      <c r="F285" s="117"/>
      <c r="G285" s="117"/>
      <c r="H285" s="117"/>
      <c r="I285" s="104"/>
    </row>
    <row r="286" spans="1:9" ht="16.5" x14ac:dyDescent="0.3">
      <c r="A286" s="104" t="str">
        <f ca="1">'Calc (LRMC Planning case)'!$B$2</f>
        <v>Calc (LRMC Planning case)</v>
      </c>
      <c r="B286" s="137"/>
      <c r="C286" s="113" t="s">
        <v>65</v>
      </c>
      <c r="D286" s="113"/>
      <c r="E286" s="113"/>
      <c r="F286" s="137"/>
      <c r="G286" s="137"/>
      <c r="H286" s="137"/>
      <c r="I286" s="104"/>
    </row>
    <row r="287" spans="1:9" ht="16.5" x14ac:dyDescent="0.3">
      <c r="A287" s="104" t="str">
        <f ca="1">'Calc (LRMC Slow Rate)'!$B$2</f>
        <v>Calc (LRMC Slow Rate)</v>
      </c>
      <c r="B287" s="137"/>
      <c r="C287" s="113" t="s">
        <v>65</v>
      </c>
      <c r="D287" s="113"/>
      <c r="E287" s="113"/>
      <c r="F287" s="137"/>
      <c r="G287" s="137"/>
      <c r="H287" s="137"/>
      <c r="I287" s="104"/>
    </row>
    <row r="288" spans="1:9" ht="16.5" x14ac:dyDescent="0.3">
      <c r="A288" s="104" t="str">
        <f ca="1">'Calc (Market Planning Case)'!$B$2</f>
        <v>Calc (Market Planning Case)</v>
      </c>
      <c r="B288" s="137"/>
      <c r="C288" s="113" t="s">
        <v>65</v>
      </c>
      <c r="D288" s="113"/>
      <c r="E288" s="113"/>
      <c r="F288" s="137"/>
      <c r="G288" s="137"/>
      <c r="H288" s="137"/>
      <c r="I288" s="104"/>
    </row>
    <row r="289" spans="1:9" ht="16.5" x14ac:dyDescent="0.3">
      <c r="A289" s="104" t="str">
        <f ca="1">'Calc (Market Slow Rate)'!$B$2</f>
        <v>Calc (Market Slow Rate)</v>
      </c>
      <c r="B289" s="137"/>
      <c r="C289" s="113" t="s">
        <v>65</v>
      </c>
      <c r="D289" s="113"/>
      <c r="E289" s="113"/>
      <c r="F289" s="137"/>
      <c r="G289" s="137"/>
      <c r="H289" s="137"/>
      <c r="I289" s="104"/>
    </row>
    <row r="290" spans="1:9" ht="16.5" x14ac:dyDescent="0.3">
      <c r="A290" s="54"/>
      <c r="B290" s="113"/>
      <c r="C290" s="113"/>
      <c r="D290" s="113"/>
      <c r="E290" s="113"/>
      <c r="F290" s="113"/>
      <c r="G290" s="113"/>
      <c r="H290" s="113"/>
      <c r="I290" s="104"/>
    </row>
    <row r="291" spans="1:9" ht="16.5" x14ac:dyDescent="0.3">
      <c r="A291" s="54" t="str">
        <f>Dist3</f>
        <v>SP Ausnet</v>
      </c>
      <c r="B291" s="113"/>
      <c r="C291" s="104"/>
      <c r="D291" s="113"/>
      <c r="E291" s="113"/>
      <c r="F291" s="117"/>
      <c r="G291" s="117"/>
      <c r="H291" s="117"/>
      <c r="I291" s="104"/>
    </row>
    <row r="292" spans="1:9" ht="16.5" x14ac:dyDescent="0.3">
      <c r="A292" s="104" t="str">
        <f ca="1">'Calc (LRMC Planning case)'!$B$2</f>
        <v>Calc (LRMC Planning case)</v>
      </c>
      <c r="B292" s="137"/>
      <c r="C292" s="113" t="s">
        <v>65</v>
      </c>
      <c r="D292" s="113"/>
      <c r="E292" s="113"/>
      <c r="F292" s="137"/>
      <c r="G292" s="137"/>
      <c r="H292" s="137"/>
      <c r="I292" s="104"/>
    </row>
    <row r="293" spans="1:9" ht="16.5" x14ac:dyDescent="0.3">
      <c r="A293" s="104" t="str">
        <f ca="1">'Calc (LRMC Slow Rate)'!$B$2</f>
        <v>Calc (LRMC Slow Rate)</v>
      </c>
      <c r="B293" s="137"/>
      <c r="C293" s="113" t="s">
        <v>65</v>
      </c>
      <c r="D293" s="113"/>
      <c r="E293" s="113"/>
      <c r="F293" s="137"/>
      <c r="G293" s="137"/>
      <c r="H293" s="137"/>
      <c r="I293" s="104"/>
    </row>
    <row r="294" spans="1:9" ht="16.5" x14ac:dyDescent="0.3">
      <c r="A294" s="104" t="str">
        <f ca="1">'Calc (Market Planning Case)'!$B$2</f>
        <v>Calc (Market Planning Case)</v>
      </c>
      <c r="B294" s="137"/>
      <c r="C294" s="113" t="s">
        <v>65</v>
      </c>
      <c r="D294" s="113"/>
      <c r="E294" s="113"/>
      <c r="F294" s="137"/>
      <c r="G294" s="137"/>
      <c r="H294" s="137"/>
      <c r="I294" s="104"/>
    </row>
    <row r="295" spans="1:9" ht="16.5" x14ac:dyDescent="0.3">
      <c r="A295" s="104" t="str">
        <f ca="1">'Calc (Market Slow Rate)'!$B$2</f>
        <v>Calc (Market Slow Rate)</v>
      </c>
      <c r="B295" s="137"/>
      <c r="C295" s="113" t="s">
        <v>65</v>
      </c>
      <c r="D295" s="113"/>
      <c r="E295" s="113"/>
      <c r="F295" s="137"/>
      <c r="G295" s="137"/>
      <c r="H295" s="137"/>
      <c r="I295" s="104"/>
    </row>
    <row r="296" spans="1:9" ht="16.5" x14ac:dyDescent="0.3">
      <c r="A296" s="54"/>
      <c r="B296" s="113"/>
      <c r="C296" s="113"/>
      <c r="D296" s="113"/>
      <c r="E296" s="113"/>
      <c r="F296" s="113"/>
      <c r="G296" s="113"/>
      <c r="H296" s="113"/>
      <c r="I296" s="104"/>
    </row>
    <row r="297" spans="1:9" ht="16.5" x14ac:dyDescent="0.3">
      <c r="A297" s="54" t="str">
        <f>Dist4</f>
        <v>United</v>
      </c>
      <c r="B297" s="113"/>
      <c r="C297" s="104"/>
      <c r="D297" s="113"/>
      <c r="E297" s="113"/>
      <c r="F297" s="117"/>
      <c r="G297" s="117"/>
      <c r="H297" s="117"/>
      <c r="I297" s="104"/>
    </row>
    <row r="298" spans="1:9" ht="16.5" x14ac:dyDescent="0.3">
      <c r="A298" s="104" t="str">
        <f ca="1">'Calc (LRMC Planning case)'!$B$2</f>
        <v>Calc (LRMC Planning case)</v>
      </c>
      <c r="B298" s="137"/>
      <c r="C298" s="113" t="s">
        <v>65</v>
      </c>
      <c r="D298" s="113"/>
      <c r="E298" s="113"/>
      <c r="F298" s="137"/>
      <c r="G298" s="137"/>
      <c r="H298" s="137"/>
      <c r="I298" s="104"/>
    </row>
    <row r="299" spans="1:9" ht="16.5" x14ac:dyDescent="0.3">
      <c r="A299" s="104" t="str">
        <f ca="1">'Calc (LRMC Slow Rate)'!$B$2</f>
        <v>Calc (LRMC Slow Rate)</v>
      </c>
      <c r="B299" s="137"/>
      <c r="C299" s="113" t="s">
        <v>65</v>
      </c>
      <c r="D299" s="113"/>
      <c r="E299" s="113"/>
      <c r="F299" s="137"/>
      <c r="G299" s="137"/>
      <c r="H299" s="137"/>
      <c r="I299" s="104"/>
    </row>
    <row r="300" spans="1:9" ht="16.5" x14ac:dyDescent="0.3">
      <c r="A300" s="104" t="str">
        <f ca="1">'Calc (Market Planning Case)'!$B$2</f>
        <v>Calc (Market Planning Case)</v>
      </c>
      <c r="B300" s="137"/>
      <c r="C300" s="113" t="s">
        <v>65</v>
      </c>
      <c r="D300" s="113"/>
      <c r="E300" s="113"/>
      <c r="F300" s="137"/>
      <c r="G300" s="137"/>
      <c r="H300" s="137"/>
      <c r="I300" s="104"/>
    </row>
    <row r="301" spans="1:9" ht="16.5" x14ac:dyDescent="0.3">
      <c r="A301" s="104" t="str">
        <f ca="1">'Calc (Market Slow Rate)'!$B$2</f>
        <v>Calc (Market Slow Rate)</v>
      </c>
      <c r="B301" s="137"/>
      <c r="C301" s="113" t="s">
        <v>65</v>
      </c>
      <c r="D301" s="113"/>
      <c r="E301" s="113"/>
      <c r="F301" s="137"/>
      <c r="G301" s="137"/>
      <c r="H301" s="137"/>
      <c r="I301" s="104"/>
    </row>
    <row r="302" spans="1:9" ht="16.5" x14ac:dyDescent="0.3">
      <c r="A302" s="104"/>
      <c r="B302" s="113"/>
      <c r="C302" s="113"/>
      <c r="D302" s="113"/>
      <c r="E302" s="113"/>
      <c r="F302" s="113"/>
      <c r="G302" s="113"/>
      <c r="H302" s="113"/>
      <c r="I302" s="104"/>
    </row>
    <row r="303" spans="1:9" ht="16.5" x14ac:dyDescent="0.3">
      <c r="A303" s="54" t="str">
        <f>Dist5</f>
        <v>Jemena</v>
      </c>
      <c r="B303" s="113"/>
      <c r="C303" s="104"/>
      <c r="D303" s="113"/>
      <c r="E303" s="113"/>
      <c r="F303" s="117"/>
      <c r="G303" s="117"/>
      <c r="H303" s="117"/>
      <c r="I303" s="104"/>
    </row>
    <row r="304" spans="1:9" ht="16.5" x14ac:dyDescent="0.3">
      <c r="A304" s="104" t="str">
        <f ca="1">'Calc (LRMC Planning case)'!$B$2</f>
        <v>Calc (LRMC Planning case)</v>
      </c>
      <c r="B304" s="137"/>
      <c r="C304" s="113" t="s">
        <v>65</v>
      </c>
      <c r="D304" s="113"/>
      <c r="E304" s="113"/>
      <c r="F304" s="137"/>
      <c r="G304" s="137"/>
      <c r="H304" s="137"/>
      <c r="I304" s="104"/>
    </row>
    <row r="305" spans="1:9" ht="16.5" x14ac:dyDescent="0.3">
      <c r="A305" s="104" t="str">
        <f ca="1">'Calc (LRMC Slow Rate)'!$B$2</f>
        <v>Calc (LRMC Slow Rate)</v>
      </c>
      <c r="B305" s="137"/>
      <c r="C305" s="113" t="s">
        <v>65</v>
      </c>
      <c r="D305" s="113"/>
      <c r="E305" s="113"/>
      <c r="F305" s="137"/>
      <c r="G305" s="137"/>
      <c r="H305" s="137"/>
      <c r="I305" s="104"/>
    </row>
    <row r="306" spans="1:9" ht="16.5" x14ac:dyDescent="0.3">
      <c r="A306" s="104" t="str">
        <f ca="1">'Calc (Market Planning Case)'!$B$2</f>
        <v>Calc (Market Planning Case)</v>
      </c>
      <c r="B306" s="137"/>
      <c r="C306" s="113" t="s">
        <v>65</v>
      </c>
      <c r="D306" s="113"/>
      <c r="E306" s="113"/>
      <c r="F306" s="137"/>
      <c r="G306" s="137"/>
      <c r="H306" s="137"/>
      <c r="I306" s="104"/>
    </row>
    <row r="307" spans="1:9" ht="16.5" x14ac:dyDescent="0.3">
      <c r="A307" s="104" t="str">
        <f ca="1">'Calc (Market Slow Rate)'!$B$2</f>
        <v>Calc (Market Slow Rate)</v>
      </c>
      <c r="B307" s="137"/>
      <c r="C307" s="113" t="s">
        <v>65</v>
      </c>
      <c r="D307" s="113"/>
      <c r="E307" s="113"/>
      <c r="F307" s="137"/>
      <c r="G307" s="137"/>
      <c r="H307" s="137"/>
      <c r="I307" s="104"/>
    </row>
    <row r="308" spans="1:9" ht="16.5" x14ac:dyDescent="0.3">
      <c r="A308" s="54"/>
      <c r="B308" s="113"/>
      <c r="C308" s="113"/>
      <c r="D308" s="113"/>
      <c r="E308" s="113"/>
      <c r="F308" s="113"/>
      <c r="G308" s="113"/>
      <c r="H308" s="113"/>
      <c r="I308" s="104"/>
    </row>
    <row r="309" spans="1:9" ht="16.5" x14ac:dyDescent="0.3">
      <c r="A309" s="124" t="str">
        <f>Scheme2</f>
        <v>blank</v>
      </c>
      <c r="B309" s="104"/>
      <c r="C309" s="104"/>
      <c r="D309" s="104"/>
      <c r="E309" s="104"/>
      <c r="F309" s="104"/>
      <c r="G309" s="104"/>
      <c r="H309" s="104"/>
      <c r="I309" s="104"/>
    </row>
    <row r="310" spans="1:9" ht="16.5" x14ac:dyDescent="0.3">
      <c r="A310" s="54" t="str">
        <f>Dist1</f>
        <v>Citipower</v>
      </c>
      <c r="B310" s="113"/>
      <c r="C310" s="104"/>
      <c r="D310" s="113"/>
      <c r="E310" s="113"/>
      <c r="F310" s="117"/>
      <c r="G310" s="117"/>
      <c r="H310" s="117"/>
      <c r="I310" s="104"/>
    </row>
    <row r="311" spans="1:9" ht="16.5" x14ac:dyDescent="0.3">
      <c r="A311" s="104" t="str">
        <f ca="1">'Calc (LRMC Planning case)'!$B$2</f>
        <v>Calc (LRMC Planning case)</v>
      </c>
      <c r="B311" s="137"/>
      <c r="C311" s="113" t="s">
        <v>65</v>
      </c>
      <c r="D311" s="113"/>
      <c r="E311" s="113"/>
      <c r="F311" s="137"/>
      <c r="G311" s="137"/>
      <c r="H311" s="137"/>
      <c r="I311" s="104"/>
    </row>
    <row r="312" spans="1:9" ht="16.5" x14ac:dyDescent="0.3">
      <c r="A312" s="104" t="str">
        <f ca="1">'Calc (LRMC Slow Rate)'!$B$2</f>
        <v>Calc (LRMC Slow Rate)</v>
      </c>
      <c r="B312" s="137"/>
      <c r="C312" s="113" t="s">
        <v>65</v>
      </c>
      <c r="D312" s="113"/>
      <c r="E312" s="113"/>
      <c r="F312" s="137"/>
      <c r="G312" s="137"/>
      <c r="H312" s="137"/>
      <c r="I312" s="104"/>
    </row>
    <row r="313" spans="1:9" ht="16.5" x14ac:dyDescent="0.3">
      <c r="A313" s="104" t="str">
        <f ca="1">'Calc (Market Planning Case)'!$B$2</f>
        <v>Calc (Market Planning Case)</v>
      </c>
      <c r="B313" s="137"/>
      <c r="C313" s="113" t="s">
        <v>65</v>
      </c>
      <c r="D313" s="113"/>
      <c r="E313" s="113"/>
      <c r="F313" s="137"/>
      <c r="G313" s="137"/>
      <c r="H313" s="137"/>
      <c r="I313" s="104"/>
    </row>
    <row r="314" spans="1:9" ht="16.5" x14ac:dyDescent="0.3">
      <c r="A314" s="104" t="str">
        <f ca="1">'Calc (Market Slow Rate)'!$B$2</f>
        <v>Calc (Market Slow Rate)</v>
      </c>
      <c r="B314" s="137"/>
      <c r="C314" s="113" t="s">
        <v>65</v>
      </c>
      <c r="D314" s="113"/>
      <c r="E314" s="113"/>
      <c r="F314" s="137"/>
      <c r="G314" s="137"/>
      <c r="H314" s="137"/>
      <c r="I314" s="104"/>
    </row>
    <row r="315" spans="1:9" ht="16.5" x14ac:dyDescent="0.3">
      <c r="A315" s="54"/>
      <c r="B315" s="113"/>
      <c r="C315" s="113"/>
      <c r="D315" s="113"/>
      <c r="E315" s="113"/>
      <c r="F315" s="117"/>
      <c r="G315" s="117"/>
      <c r="H315" s="117"/>
      <c r="I315" s="104"/>
    </row>
    <row r="316" spans="1:9" ht="16.5" x14ac:dyDescent="0.3">
      <c r="A316" s="54" t="str">
        <f>Dist2</f>
        <v>Powercor</v>
      </c>
      <c r="B316" s="113"/>
      <c r="C316" s="104"/>
      <c r="D316" s="113"/>
      <c r="E316" s="113"/>
      <c r="F316" s="117"/>
      <c r="G316" s="117"/>
      <c r="H316" s="117"/>
      <c r="I316" s="104"/>
    </row>
    <row r="317" spans="1:9" ht="16.5" x14ac:dyDescent="0.3">
      <c r="A317" s="104" t="str">
        <f ca="1">'Calc (LRMC Planning case)'!$B$2</f>
        <v>Calc (LRMC Planning case)</v>
      </c>
      <c r="B317" s="137"/>
      <c r="C317" s="113" t="s">
        <v>65</v>
      </c>
      <c r="D317" s="113"/>
      <c r="E317" s="113"/>
      <c r="F317" s="137"/>
      <c r="G317" s="137"/>
      <c r="H317" s="137"/>
      <c r="I317" s="104"/>
    </row>
    <row r="318" spans="1:9" ht="16.5" x14ac:dyDescent="0.3">
      <c r="A318" s="104" t="str">
        <f ca="1">'Calc (LRMC Slow Rate)'!$B$2</f>
        <v>Calc (LRMC Slow Rate)</v>
      </c>
      <c r="B318" s="137"/>
      <c r="C318" s="113" t="s">
        <v>65</v>
      </c>
      <c r="D318" s="113"/>
      <c r="E318" s="113"/>
      <c r="F318" s="137"/>
      <c r="G318" s="137"/>
      <c r="H318" s="137"/>
      <c r="I318" s="104"/>
    </row>
    <row r="319" spans="1:9" ht="16.5" x14ac:dyDescent="0.3">
      <c r="A319" s="104" t="str">
        <f ca="1">'Calc (Market Planning Case)'!$B$2</f>
        <v>Calc (Market Planning Case)</v>
      </c>
      <c r="B319" s="137"/>
      <c r="C319" s="113" t="s">
        <v>65</v>
      </c>
      <c r="D319" s="113"/>
      <c r="E319" s="113"/>
      <c r="F319" s="137"/>
      <c r="G319" s="137"/>
      <c r="H319" s="137"/>
      <c r="I319" s="104"/>
    </row>
    <row r="320" spans="1:9" ht="16.5" x14ac:dyDescent="0.3">
      <c r="A320" s="104" t="str">
        <f ca="1">'Calc (Market Slow Rate)'!$B$2</f>
        <v>Calc (Market Slow Rate)</v>
      </c>
      <c r="B320" s="137"/>
      <c r="C320" s="113" t="s">
        <v>65</v>
      </c>
      <c r="D320" s="113"/>
      <c r="E320" s="113"/>
      <c r="F320" s="137"/>
      <c r="G320" s="137"/>
      <c r="H320" s="137"/>
      <c r="I320" s="104"/>
    </row>
    <row r="321" spans="1:9" ht="16.5" x14ac:dyDescent="0.3">
      <c r="A321" s="54"/>
      <c r="B321" s="113"/>
      <c r="C321" s="113"/>
      <c r="D321" s="113"/>
      <c r="E321" s="113"/>
      <c r="F321" s="113"/>
      <c r="G321" s="113"/>
      <c r="H321" s="113"/>
      <c r="I321" s="104"/>
    </row>
    <row r="322" spans="1:9" ht="16.5" x14ac:dyDescent="0.3">
      <c r="A322" s="54" t="str">
        <f>Dist3</f>
        <v>SP Ausnet</v>
      </c>
      <c r="B322" s="113"/>
      <c r="C322" s="104"/>
      <c r="D322" s="113"/>
      <c r="E322" s="113"/>
      <c r="F322" s="117"/>
      <c r="G322" s="117"/>
      <c r="H322" s="117"/>
      <c r="I322" s="104"/>
    </row>
    <row r="323" spans="1:9" ht="16.5" x14ac:dyDescent="0.3">
      <c r="A323" s="104" t="str">
        <f ca="1">'Calc (LRMC Planning case)'!$B$2</f>
        <v>Calc (LRMC Planning case)</v>
      </c>
      <c r="B323" s="137"/>
      <c r="C323" s="113" t="s">
        <v>65</v>
      </c>
      <c r="D323" s="113"/>
      <c r="E323" s="113"/>
      <c r="F323" s="137"/>
      <c r="G323" s="137"/>
      <c r="H323" s="137"/>
      <c r="I323" s="104"/>
    </row>
    <row r="324" spans="1:9" ht="16.5" x14ac:dyDescent="0.3">
      <c r="A324" s="104" t="str">
        <f ca="1">'Calc (LRMC Slow Rate)'!$B$2</f>
        <v>Calc (LRMC Slow Rate)</v>
      </c>
      <c r="B324" s="137"/>
      <c r="C324" s="113" t="s">
        <v>65</v>
      </c>
      <c r="D324" s="113"/>
      <c r="E324" s="113"/>
      <c r="F324" s="137"/>
      <c r="G324" s="137"/>
      <c r="H324" s="137"/>
      <c r="I324" s="104"/>
    </row>
    <row r="325" spans="1:9" ht="16.5" x14ac:dyDescent="0.3">
      <c r="A325" s="104" t="str">
        <f ca="1">'Calc (Market Planning Case)'!$B$2</f>
        <v>Calc (Market Planning Case)</v>
      </c>
      <c r="B325" s="137"/>
      <c r="C325" s="113" t="s">
        <v>65</v>
      </c>
      <c r="D325" s="113"/>
      <c r="E325" s="113"/>
      <c r="F325" s="137"/>
      <c r="G325" s="137"/>
      <c r="H325" s="137"/>
      <c r="I325" s="104"/>
    </row>
    <row r="326" spans="1:9" ht="16.5" x14ac:dyDescent="0.3">
      <c r="A326" s="104" t="str">
        <f ca="1">'Calc (Market Slow Rate)'!$B$2</f>
        <v>Calc (Market Slow Rate)</v>
      </c>
      <c r="B326" s="137"/>
      <c r="C326" s="113" t="s">
        <v>65</v>
      </c>
      <c r="D326" s="113"/>
      <c r="E326" s="113"/>
      <c r="F326" s="137"/>
      <c r="G326" s="137"/>
      <c r="H326" s="137"/>
      <c r="I326" s="104"/>
    </row>
    <row r="327" spans="1:9" ht="16.5" x14ac:dyDescent="0.3">
      <c r="A327" s="54"/>
      <c r="B327" s="113"/>
      <c r="C327" s="113"/>
      <c r="D327" s="113"/>
      <c r="E327" s="113"/>
      <c r="F327" s="113"/>
      <c r="G327" s="113"/>
      <c r="H327" s="113"/>
      <c r="I327" s="104"/>
    </row>
    <row r="328" spans="1:9" ht="16.5" x14ac:dyDescent="0.3">
      <c r="A328" s="54" t="str">
        <f>Dist4</f>
        <v>United</v>
      </c>
      <c r="B328" s="113"/>
      <c r="C328" s="104"/>
      <c r="D328" s="113"/>
      <c r="E328" s="113"/>
      <c r="F328" s="117"/>
      <c r="G328" s="117"/>
      <c r="H328" s="117"/>
      <c r="I328" s="104"/>
    </row>
    <row r="329" spans="1:9" ht="16.5" x14ac:dyDescent="0.3">
      <c r="A329" s="104" t="str">
        <f ca="1">'Calc (LRMC Planning case)'!$B$2</f>
        <v>Calc (LRMC Planning case)</v>
      </c>
      <c r="B329" s="137"/>
      <c r="C329" s="113" t="s">
        <v>65</v>
      </c>
      <c r="D329" s="113"/>
      <c r="E329" s="113"/>
      <c r="F329" s="137"/>
      <c r="G329" s="137"/>
      <c r="H329" s="137"/>
      <c r="I329" s="104"/>
    </row>
    <row r="330" spans="1:9" ht="16.5" x14ac:dyDescent="0.3">
      <c r="A330" s="104" t="str">
        <f ca="1">'Calc (LRMC Slow Rate)'!$B$2</f>
        <v>Calc (LRMC Slow Rate)</v>
      </c>
      <c r="B330" s="137"/>
      <c r="C330" s="113" t="s">
        <v>65</v>
      </c>
      <c r="D330" s="113"/>
      <c r="E330" s="113"/>
      <c r="F330" s="137"/>
      <c r="G330" s="137"/>
      <c r="H330" s="137"/>
      <c r="I330" s="104"/>
    </row>
    <row r="331" spans="1:9" ht="16.5" x14ac:dyDescent="0.3">
      <c r="A331" s="104" t="str">
        <f ca="1">'Calc (Market Planning Case)'!$B$2</f>
        <v>Calc (Market Planning Case)</v>
      </c>
      <c r="B331" s="137"/>
      <c r="C331" s="113" t="s">
        <v>65</v>
      </c>
      <c r="D331" s="113"/>
      <c r="E331" s="113"/>
      <c r="F331" s="137"/>
      <c r="G331" s="137"/>
      <c r="H331" s="137"/>
      <c r="I331" s="104"/>
    </row>
    <row r="332" spans="1:9" ht="16.5" x14ac:dyDescent="0.3">
      <c r="A332" s="104" t="str">
        <f ca="1">'Calc (Market Slow Rate)'!$B$2</f>
        <v>Calc (Market Slow Rate)</v>
      </c>
      <c r="B332" s="137"/>
      <c r="C332" s="113" t="s">
        <v>65</v>
      </c>
      <c r="D332" s="113"/>
      <c r="E332" s="113"/>
      <c r="F332" s="137"/>
      <c r="G332" s="137"/>
      <c r="H332" s="137"/>
      <c r="I332" s="104"/>
    </row>
    <row r="333" spans="1:9" ht="16.5" x14ac:dyDescent="0.3">
      <c r="A333" s="104"/>
      <c r="B333" s="113"/>
      <c r="C333" s="113"/>
      <c r="D333" s="113"/>
      <c r="E333" s="113"/>
      <c r="F333" s="113"/>
      <c r="G333" s="113"/>
      <c r="H333" s="113"/>
      <c r="I333" s="104"/>
    </row>
    <row r="334" spans="1:9" ht="16.5" x14ac:dyDescent="0.3">
      <c r="A334" s="54" t="str">
        <f>Dist5</f>
        <v>Jemena</v>
      </c>
      <c r="B334" s="113"/>
      <c r="C334" s="104"/>
      <c r="D334" s="113"/>
      <c r="E334" s="113"/>
      <c r="F334" s="117"/>
      <c r="G334" s="117"/>
      <c r="H334" s="117"/>
      <c r="I334" s="104"/>
    </row>
    <row r="335" spans="1:9" ht="16.5" x14ac:dyDescent="0.3">
      <c r="A335" s="104" t="str">
        <f ca="1">'Calc (LRMC Planning case)'!$B$2</f>
        <v>Calc (LRMC Planning case)</v>
      </c>
      <c r="B335" s="137"/>
      <c r="C335" s="113" t="s">
        <v>65</v>
      </c>
      <c r="D335" s="113"/>
      <c r="E335" s="113"/>
      <c r="F335" s="137"/>
      <c r="G335" s="137"/>
      <c r="H335" s="137"/>
      <c r="I335" s="104"/>
    </row>
    <row r="336" spans="1:9" ht="16.5" x14ac:dyDescent="0.3">
      <c r="A336" s="104" t="str">
        <f ca="1">'Calc (LRMC Slow Rate)'!$B$2</f>
        <v>Calc (LRMC Slow Rate)</v>
      </c>
      <c r="B336" s="137"/>
      <c r="C336" s="113" t="s">
        <v>65</v>
      </c>
      <c r="D336" s="113"/>
      <c r="E336" s="113"/>
      <c r="F336" s="137"/>
      <c r="G336" s="137"/>
      <c r="H336" s="137"/>
      <c r="I336" s="104"/>
    </row>
    <row r="337" spans="1:9" ht="16.5" x14ac:dyDescent="0.3">
      <c r="A337" s="104" t="str">
        <f ca="1">'Calc (Market Planning Case)'!$B$2</f>
        <v>Calc (Market Planning Case)</v>
      </c>
      <c r="B337" s="137"/>
      <c r="C337" s="113" t="s">
        <v>65</v>
      </c>
      <c r="D337" s="113"/>
      <c r="E337" s="113"/>
      <c r="F337" s="137"/>
      <c r="G337" s="137"/>
      <c r="H337" s="137"/>
      <c r="I337" s="104"/>
    </row>
    <row r="338" spans="1:9" ht="16.5" x14ac:dyDescent="0.3">
      <c r="A338" s="104" t="str">
        <f ca="1">'Calc (Market Slow Rate)'!$B$2</f>
        <v>Calc (Market Slow Rate)</v>
      </c>
      <c r="B338" s="137"/>
      <c r="C338" s="113" t="s">
        <v>65</v>
      </c>
      <c r="D338" s="113"/>
      <c r="E338" s="113"/>
      <c r="F338" s="137"/>
      <c r="G338" s="137"/>
      <c r="H338" s="137"/>
      <c r="I338" s="104"/>
    </row>
    <row r="339" spans="1:9" ht="16.5" x14ac:dyDescent="0.3">
      <c r="A339" s="54"/>
      <c r="B339" s="153"/>
      <c r="C339" s="113"/>
      <c r="D339" s="113"/>
      <c r="E339" s="113"/>
      <c r="F339" s="117"/>
      <c r="G339" s="55"/>
      <c r="H339" s="55"/>
      <c r="I339" s="104"/>
    </row>
    <row r="340" spans="1:9" ht="16.5" x14ac:dyDescent="0.3">
      <c r="I340" s="104"/>
    </row>
    <row r="341" spans="1:9" ht="16.5" x14ac:dyDescent="0.3">
      <c r="I341" s="104"/>
    </row>
    <row r="342" spans="1:9" ht="16.5" x14ac:dyDescent="0.3">
      <c r="I342" s="104"/>
    </row>
    <row r="343" spans="1:9" ht="16.5" x14ac:dyDescent="0.3">
      <c r="I343" s="104"/>
    </row>
    <row r="344" spans="1:9" ht="16.5" x14ac:dyDescent="0.3">
      <c r="I344" s="104"/>
    </row>
    <row r="345" spans="1:9" ht="16.5" x14ac:dyDescent="0.3">
      <c r="I345" s="104"/>
    </row>
    <row r="346" spans="1:9" ht="16.5" x14ac:dyDescent="0.3">
      <c r="I346" s="104"/>
    </row>
    <row r="347" spans="1:9" ht="16.5" x14ac:dyDescent="0.3">
      <c r="I347" s="104"/>
    </row>
  </sheetData>
  <sheetProtection password="D9A8" sheet="1" objects="1" scenarios="1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834"/>
  <sheetViews>
    <sheetView zoomScaleNormal="100" workbookViewId="0">
      <pane ySplit="4" topLeftCell="A5" activePane="bottomLeft" state="frozenSplit"/>
      <selection activeCell="C50" sqref="C50"/>
      <selection pane="bottomLeft" activeCell="I9" sqref="I9"/>
    </sheetView>
  </sheetViews>
  <sheetFormatPr defaultColWidth="9.140625" defaultRowHeight="16.5" x14ac:dyDescent="0.3"/>
  <cols>
    <col min="1" max="1" width="27.5703125" style="66" bestFit="1" customWidth="1"/>
    <col min="2" max="3" width="15" style="66" customWidth="1"/>
    <col min="4" max="6" width="17.7109375" style="66" customWidth="1"/>
    <col min="7" max="8" width="17.7109375" style="35" customWidth="1"/>
    <col min="9" max="9" width="14.85546875" style="66" customWidth="1"/>
    <col min="10" max="10" width="11.42578125" style="66" bestFit="1" customWidth="1"/>
    <col min="11" max="11" width="11.28515625" style="66" bestFit="1" customWidth="1"/>
    <col min="12" max="13" width="12.42578125" style="66" bestFit="1" customWidth="1"/>
    <col min="14" max="14" width="13" style="66" bestFit="1" customWidth="1"/>
    <col min="15" max="15" width="9.85546875" style="66" bestFit="1" customWidth="1"/>
    <col min="16" max="16384" width="9.140625" style="66"/>
  </cols>
  <sheetData>
    <row r="1" spans="1:9" s="22" customFormat="1" ht="23.25" x14ac:dyDescent="0.35">
      <c r="A1" s="22" t="s">
        <v>1</v>
      </c>
      <c r="B1" s="24" t="str">
        <f ca="1">'Input Global'!B1</f>
        <v>2012 Pricing Trends - model - Vic</v>
      </c>
      <c r="C1" s="24"/>
      <c r="D1" s="24"/>
      <c r="E1" s="24"/>
      <c r="F1" s="24"/>
      <c r="I1" s="121" t="s">
        <v>30</v>
      </c>
    </row>
    <row r="2" spans="1:9" s="22" customFormat="1" ht="18.75" x14ac:dyDescent="0.3">
      <c r="B2" s="26" t="str">
        <f ca="1">RIGHT(CELL("filename",B2),LEN(CELL("filename",B2))-SEARCH("]",CELL("filename",B2)))</f>
        <v>Input General</v>
      </c>
      <c r="C2" s="26"/>
      <c r="D2" s="26"/>
      <c r="E2" s="26"/>
      <c r="F2" s="26"/>
      <c r="I2" s="77" t="s">
        <v>24</v>
      </c>
    </row>
    <row r="3" spans="1:9" s="22" customFormat="1" x14ac:dyDescent="0.3">
      <c r="I3" s="129" t="s">
        <v>31</v>
      </c>
    </row>
    <row r="4" spans="1:9" s="22" customFormat="1" ht="15.75" x14ac:dyDescent="0.3">
      <c r="B4" s="27"/>
      <c r="C4" s="28" t="s">
        <v>8</v>
      </c>
      <c r="D4" s="28" t="str">
        <f>'Input Global'!D4</f>
        <v>2010/11</v>
      </c>
      <c r="E4" s="28" t="str">
        <f>'Input Global'!E4</f>
        <v>2011/12</v>
      </c>
      <c r="F4" s="28" t="str">
        <f>'Input Global'!F4</f>
        <v>2012/13</v>
      </c>
      <c r="G4" s="28" t="str">
        <f>'Input Global'!G4</f>
        <v>2013/14</v>
      </c>
      <c r="H4" s="28" t="str">
        <f>'Input Global'!H4</f>
        <v>2014/15</v>
      </c>
    </row>
    <row r="5" spans="1:9" s="35" customFormat="1" x14ac:dyDescent="0.3"/>
    <row r="6" spans="1:9" s="37" customFormat="1" ht="18.75" x14ac:dyDescent="0.3">
      <c r="A6" s="36" t="s">
        <v>117</v>
      </c>
    </row>
    <row r="7" spans="1:9" s="35" customFormat="1" x14ac:dyDescent="0.3">
      <c r="A7" s="38" t="str">
        <f>Dist1</f>
        <v>Citipower</v>
      </c>
      <c r="F7" s="39"/>
    </row>
    <row r="8" spans="1:9" s="35" customFormat="1" x14ac:dyDescent="0.3">
      <c r="A8" s="40" t="s">
        <v>17</v>
      </c>
      <c r="B8" s="35" t="s">
        <v>24</v>
      </c>
      <c r="C8" s="35" t="s">
        <v>28</v>
      </c>
      <c r="D8" s="80">
        <f>IF($C600="$/pa",D600*100,D600)</f>
        <v>0</v>
      </c>
      <c r="E8" s="80">
        <f>IF($C600="$/pa",E600*100,E600)</f>
        <v>459.75</v>
      </c>
      <c r="F8" s="80">
        <f>IF($C600="$/pa",F600*100,F600)</f>
        <v>469.43127403846148</v>
      </c>
      <c r="G8" s="80">
        <f>IF($C600="$/pa",G600*100,G600)</f>
        <v>479.31641336677143</v>
      </c>
      <c r="H8" s="80">
        <f>IF($C600="$/pa",H600*100,H600)</f>
        <v>489.40971091747548</v>
      </c>
    </row>
    <row r="9" spans="1:9" s="35" customFormat="1" x14ac:dyDescent="0.3">
      <c r="A9" s="40" t="s">
        <v>18</v>
      </c>
      <c r="B9" s="35" t="s">
        <v>24</v>
      </c>
      <c r="C9" s="35" t="s">
        <v>11</v>
      </c>
      <c r="D9" s="80">
        <f>IF($C601="$/kwh",D601*100,IF($C601="$/mwh",D601*100/1000,D601))</f>
        <v>0</v>
      </c>
      <c r="E9" s="80">
        <f>IF($C601="$/kwh",E601*100,IF($C601="$/mwh",E601*100/1000,E601))</f>
        <v>0.9053500000000001</v>
      </c>
      <c r="F9" s="80">
        <f>IF($C601="$/kwh",F601*100,IF($C601="$/mwh",F601*100/1000,F601))</f>
        <v>0.9244145817307694</v>
      </c>
      <c r="G9" s="80">
        <f>IF($C601="$/kwh",G601*100,IF($C601="$/mwh",G601*100/1000,G601))</f>
        <v>0.94388061955760005</v>
      </c>
      <c r="H9" s="80">
        <f>IF($C601="$/kwh",H601*100,IF($C601="$/mwh",H601*100/1000,H601))</f>
        <v>0.9637565672194377</v>
      </c>
    </row>
    <row r="10" spans="1:9" s="35" customFormat="1" x14ac:dyDescent="0.3">
      <c r="A10" s="40" t="s">
        <v>19</v>
      </c>
      <c r="B10" s="35" t="s">
        <v>24</v>
      </c>
      <c r="C10" s="35" t="s">
        <v>11</v>
      </c>
      <c r="D10" s="80">
        <f t="shared" ref="D10:H12" si="0">IF($C602="$/kwh",D602*100,IF($C602="$/mwh",D602*100/1000,D602))</f>
        <v>0</v>
      </c>
      <c r="E10" s="80">
        <f t="shared" si="0"/>
        <v>0.9053500000000001</v>
      </c>
      <c r="F10" s="106">
        <f t="shared" si="0"/>
        <v>0.9244145817307694</v>
      </c>
      <c r="G10" s="106">
        <f t="shared" si="0"/>
        <v>0.94388061955760005</v>
      </c>
      <c r="H10" s="80">
        <f t="shared" ref="G10:H11" si="1">IF($C602="$/kwh",H602*100,IF($C602="$/mwh",H602*100/1000,H602))</f>
        <v>0.9637565672194377</v>
      </c>
    </row>
    <row r="11" spans="1:9" s="35" customFormat="1" x14ac:dyDescent="0.3">
      <c r="A11" s="40" t="s">
        <v>20</v>
      </c>
      <c r="B11" s="35" t="s">
        <v>24</v>
      </c>
      <c r="C11" s="35" t="s">
        <v>11</v>
      </c>
      <c r="D11" s="80">
        <f t="shared" si="0"/>
        <v>0</v>
      </c>
      <c r="E11" s="80">
        <f t="shared" si="0"/>
        <v>0</v>
      </c>
      <c r="F11" s="80">
        <f>IF($C603="$/kwh",F603*100,IF($C603="$/mwh",F603*100/1000,F603))</f>
        <v>0</v>
      </c>
      <c r="G11" s="80">
        <f t="shared" si="1"/>
        <v>0</v>
      </c>
      <c r="H11" s="80">
        <f t="shared" si="1"/>
        <v>0</v>
      </c>
    </row>
    <row r="12" spans="1:9" s="35" customFormat="1" x14ac:dyDescent="0.3">
      <c r="A12" s="40" t="s">
        <v>81</v>
      </c>
      <c r="B12" s="35" t="s">
        <v>24</v>
      </c>
      <c r="C12" s="35" t="s">
        <v>11</v>
      </c>
      <c r="D12" s="80">
        <f t="shared" si="0"/>
        <v>0</v>
      </c>
      <c r="E12" s="80">
        <f t="shared" si="0"/>
        <v>0</v>
      </c>
      <c r="F12" s="106">
        <f t="shared" si="0"/>
        <v>0</v>
      </c>
      <c r="G12" s="106">
        <f t="shared" si="0"/>
        <v>0</v>
      </c>
      <c r="H12" s="106">
        <f t="shared" si="0"/>
        <v>0</v>
      </c>
    </row>
    <row r="13" spans="1:9" s="35" customFormat="1" x14ac:dyDescent="0.3">
      <c r="A13" s="38" t="str">
        <f>Dist2</f>
        <v>Powercor</v>
      </c>
      <c r="D13" s="73"/>
      <c r="E13" s="73"/>
      <c r="F13" s="73"/>
      <c r="G13" s="73"/>
      <c r="H13" s="73"/>
    </row>
    <row r="14" spans="1:9" s="35" customFormat="1" x14ac:dyDescent="0.3">
      <c r="A14" s="40" t="str">
        <f>A8</f>
        <v>Standing</v>
      </c>
      <c r="B14" s="35" t="s">
        <v>24</v>
      </c>
      <c r="C14" s="35" t="s">
        <v>28</v>
      </c>
      <c r="D14" s="80">
        <f>IF($C610="$/pa",D610*100,D610)</f>
        <v>0</v>
      </c>
      <c r="E14" s="80">
        <f>IF($C610="$/pa",E610*100,E610)</f>
        <v>1145.5650000000001</v>
      </c>
      <c r="F14" s="80">
        <f>IF($C610="$/pa",F610*100,F610)</f>
        <v>1169.6879552884616</v>
      </c>
      <c r="G14" s="80">
        <f>IF($C610="$/pa",G610*100,G610)</f>
        <v>1194.3188843469397</v>
      </c>
      <c r="H14" s="80">
        <f>IF($C610="$/pa",H610*100,H610)</f>
        <v>1219.4684839307838</v>
      </c>
    </row>
    <row r="15" spans="1:9" s="35" customFormat="1" x14ac:dyDescent="0.3">
      <c r="A15" s="40" t="str">
        <f>A9</f>
        <v>Block 1</v>
      </c>
      <c r="B15" s="35" t="s">
        <v>24</v>
      </c>
      <c r="C15" s="35" t="s">
        <v>11</v>
      </c>
      <c r="D15" s="80">
        <f t="shared" ref="D15:H18" si="2">IF($C611="$/kwh",D611*100,IF($C611="$/mwh",D611*100/1000,D611))</f>
        <v>0</v>
      </c>
      <c r="E15" s="80">
        <f t="shared" si="2"/>
        <v>1.0811999999999999</v>
      </c>
      <c r="F15" s="80">
        <f t="shared" si="2"/>
        <v>1.1039675769230766</v>
      </c>
      <c r="G15" s="80">
        <f t="shared" si="2"/>
        <v>1.1272145864755914</v>
      </c>
      <c r="H15" s="80">
        <f t="shared" si="2"/>
        <v>1.1509511244023367</v>
      </c>
    </row>
    <row r="16" spans="1:9" s="35" customFormat="1" x14ac:dyDescent="0.3">
      <c r="A16" s="40" t="str">
        <f>A10</f>
        <v>Block 2</v>
      </c>
      <c r="B16" s="35" t="s">
        <v>24</v>
      </c>
      <c r="C16" s="35" t="s">
        <v>11</v>
      </c>
      <c r="D16" s="80">
        <f t="shared" si="2"/>
        <v>0</v>
      </c>
      <c r="E16" s="80">
        <f t="shared" si="2"/>
        <v>1.0811999999999999</v>
      </c>
      <c r="F16" s="80">
        <f t="shared" si="2"/>
        <v>1.1039675769230766</v>
      </c>
      <c r="G16" s="80">
        <f t="shared" si="2"/>
        <v>1.1272145864755914</v>
      </c>
      <c r="H16" s="80">
        <f t="shared" si="2"/>
        <v>1.1509511244023367</v>
      </c>
    </row>
    <row r="17" spans="1:8" s="35" customFormat="1" x14ac:dyDescent="0.3">
      <c r="A17" s="40" t="str">
        <f>A11</f>
        <v>Block 3</v>
      </c>
      <c r="B17" s="35" t="s">
        <v>24</v>
      </c>
      <c r="C17" s="35" t="s">
        <v>11</v>
      </c>
      <c r="D17" s="80">
        <f t="shared" si="2"/>
        <v>0</v>
      </c>
      <c r="E17" s="80">
        <f t="shared" si="2"/>
        <v>1.0811999999999999</v>
      </c>
      <c r="F17" s="80">
        <f t="shared" si="2"/>
        <v>1.1039675769230766</v>
      </c>
      <c r="G17" s="80">
        <f t="shared" si="2"/>
        <v>1.1272145864755914</v>
      </c>
      <c r="H17" s="80">
        <f t="shared" si="2"/>
        <v>1.1509511244023367</v>
      </c>
    </row>
    <row r="18" spans="1:8" s="35" customFormat="1" x14ac:dyDescent="0.3">
      <c r="A18" s="40" t="str">
        <f>A12</f>
        <v>Block 4</v>
      </c>
      <c r="B18" s="35" t="s">
        <v>24</v>
      </c>
      <c r="C18" s="35" t="s">
        <v>11</v>
      </c>
      <c r="D18" s="80">
        <f t="shared" si="2"/>
        <v>0</v>
      </c>
      <c r="E18" s="80">
        <f t="shared" si="2"/>
        <v>1.0811999999999999</v>
      </c>
      <c r="F18" s="80">
        <f t="shared" si="2"/>
        <v>1.1039675769230766</v>
      </c>
      <c r="G18" s="80">
        <f t="shared" si="2"/>
        <v>1.1272145864755914</v>
      </c>
      <c r="H18" s="80">
        <f t="shared" si="2"/>
        <v>1.1509511244023367</v>
      </c>
    </row>
    <row r="19" spans="1:8" s="35" customFormat="1" x14ac:dyDescent="0.3">
      <c r="A19" s="38" t="str">
        <f>Dist3</f>
        <v>SP Ausnet</v>
      </c>
      <c r="D19" s="73"/>
      <c r="E19" s="73"/>
      <c r="F19" s="73"/>
      <c r="G19" s="73"/>
      <c r="H19" s="73"/>
    </row>
    <row r="20" spans="1:8" s="35" customFormat="1" x14ac:dyDescent="0.3">
      <c r="A20" s="40" t="str">
        <f>A14</f>
        <v>Standing</v>
      </c>
      <c r="B20" s="35" t="s">
        <v>24</v>
      </c>
      <c r="C20" s="35" t="s">
        <v>28</v>
      </c>
      <c r="D20" s="80">
        <f>IF($C620="$/pa",D620*100,D620)</f>
        <v>0</v>
      </c>
      <c r="E20" s="80">
        <f>IF($C620="$/pa",E620*100,E620)</f>
        <v>0</v>
      </c>
      <c r="F20" s="80">
        <f>IF($C620="$/pa",F620*100,F620)</f>
        <v>0</v>
      </c>
      <c r="G20" s="80">
        <f>IF($C620="$/pa",G620*100,G620)</f>
        <v>0</v>
      </c>
      <c r="H20" s="80">
        <f>IF($C620="$/pa",H620*100,H620)</f>
        <v>0</v>
      </c>
    </row>
    <row r="21" spans="1:8" s="35" customFormat="1" x14ac:dyDescent="0.3">
      <c r="A21" s="40" t="str">
        <f>A15</f>
        <v>Block 1</v>
      </c>
      <c r="B21" s="35" t="s">
        <v>24</v>
      </c>
      <c r="C21" s="35" t="s">
        <v>11</v>
      </c>
      <c r="D21" s="80">
        <f t="shared" ref="D21:H24" si="3">IF($C621="$/kwh",D621*100,IF($C621="$/mwh",D621*100/1000,D621))</f>
        <v>0</v>
      </c>
      <c r="E21" s="80">
        <f t="shared" si="3"/>
        <v>1.0285</v>
      </c>
      <c r="F21" s="80">
        <f t="shared" si="3"/>
        <v>1.0501578365384612</v>
      </c>
      <c r="G21" s="80">
        <f t="shared" si="3"/>
        <v>1.0722717371347998</v>
      </c>
      <c r="H21" s="80">
        <f t="shared" si="3"/>
        <v>1.0948513054456193</v>
      </c>
    </row>
    <row r="22" spans="1:8" s="35" customFormat="1" x14ac:dyDescent="0.3">
      <c r="A22" s="40" t="str">
        <f>A16</f>
        <v>Block 2</v>
      </c>
      <c r="B22" s="35" t="s">
        <v>24</v>
      </c>
      <c r="C22" s="35" t="s">
        <v>11</v>
      </c>
      <c r="D22" s="80">
        <f t="shared" si="3"/>
        <v>0</v>
      </c>
      <c r="E22" s="80">
        <f t="shared" si="3"/>
        <v>1.1689999999999998</v>
      </c>
      <c r="F22" s="80">
        <f t="shared" si="3"/>
        <v>1.1936164423076923</v>
      </c>
      <c r="G22" s="80">
        <f t="shared" si="3"/>
        <v>1.2187512500832098</v>
      </c>
      <c r="H22" s="80">
        <f t="shared" si="3"/>
        <v>1.2444153389070773</v>
      </c>
    </row>
    <row r="23" spans="1:8" s="35" customFormat="1" x14ac:dyDescent="0.3">
      <c r="A23" s="40" t="str">
        <f>A17</f>
        <v>Block 3</v>
      </c>
      <c r="B23" s="35" t="s">
        <v>24</v>
      </c>
      <c r="C23" s="35" t="s">
        <v>11</v>
      </c>
      <c r="D23" s="80">
        <f t="shared" si="3"/>
        <v>0</v>
      </c>
      <c r="E23" s="80">
        <f t="shared" si="3"/>
        <v>0</v>
      </c>
      <c r="F23" s="80">
        <f t="shared" si="3"/>
        <v>0</v>
      </c>
      <c r="G23" s="80">
        <f t="shared" si="3"/>
        <v>0</v>
      </c>
      <c r="H23" s="80">
        <f t="shared" si="3"/>
        <v>0</v>
      </c>
    </row>
    <row r="24" spans="1:8" s="35" customFormat="1" x14ac:dyDescent="0.3">
      <c r="A24" s="40" t="str">
        <f>A18</f>
        <v>Block 4</v>
      </c>
      <c r="B24" s="35" t="s">
        <v>24</v>
      </c>
      <c r="C24" s="35" t="s">
        <v>11</v>
      </c>
      <c r="D24" s="80">
        <f t="shared" si="3"/>
        <v>0</v>
      </c>
      <c r="E24" s="80">
        <f t="shared" si="3"/>
        <v>0</v>
      </c>
      <c r="F24" s="80">
        <f t="shared" si="3"/>
        <v>0</v>
      </c>
      <c r="G24" s="80">
        <f t="shared" si="3"/>
        <v>0</v>
      </c>
      <c r="H24" s="80">
        <f t="shared" si="3"/>
        <v>0</v>
      </c>
    </row>
    <row r="25" spans="1:8" s="35" customFormat="1" x14ac:dyDescent="0.3">
      <c r="A25" s="38" t="str">
        <f>Dist4</f>
        <v>United</v>
      </c>
      <c r="D25" s="39"/>
      <c r="E25" s="39"/>
      <c r="F25" s="39"/>
      <c r="G25" s="39"/>
      <c r="H25" s="39"/>
    </row>
    <row r="26" spans="1:8" s="35" customFormat="1" x14ac:dyDescent="0.3">
      <c r="A26" s="40" t="str">
        <f>A20</f>
        <v>Standing</v>
      </c>
      <c r="B26" s="35" t="s">
        <v>24</v>
      </c>
      <c r="C26" s="35" t="s">
        <v>28</v>
      </c>
      <c r="D26" s="80">
        <f>IF($C630="$/pa",D630*100,D630)</f>
        <v>0</v>
      </c>
      <c r="E26" s="80">
        <f>IF($C630="$/pa",E630*100,E630)</f>
        <v>0</v>
      </c>
      <c r="F26" s="80">
        <f>IF($C630="$/pa",F630*100,F630)</f>
        <v>0</v>
      </c>
      <c r="G26" s="80">
        <f>IF($C630="$/pa",G630*100,G630)</f>
        <v>0</v>
      </c>
      <c r="H26" s="80">
        <f>IF($C630="$/pa",H630*100,H630)</f>
        <v>0</v>
      </c>
    </row>
    <row r="27" spans="1:8" s="35" customFormat="1" x14ac:dyDescent="0.3">
      <c r="A27" s="40" t="str">
        <f>A21</f>
        <v>Block 1</v>
      </c>
      <c r="B27" s="35" t="s">
        <v>24</v>
      </c>
      <c r="C27" s="35" t="s">
        <v>11</v>
      </c>
      <c r="D27" s="80">
        <f t="shared" ref="D27:H30" si="4">IF($C631="$/kwh",D631*100,IF($C631="$/mwh",D631*100/1000,D631))</f>
        <v>0</v>
      </c>
      <c r="E27" s="80">
        <f t="shared" si="4"/>
        <v>1.8499999999999999</v>
      </c>
      <c r="F27" s="80">
        <f t="shared" si="4"/>
        <v>1.8889567307692305</v>
      </c>
      <c r="G27" s="80">
        <f t="shared" si="4"/>
        <v>1.9287338003883132</v>
      </c>
      <c r="H27" s="80">
        <f t="shared" si="4"/>
        <v>1.9693484833003365</v>
      </c>
    </row>
    <row r="28" spans="1:8" s="35" customFormat="1" x14ac:dyDescent="0.3">
      <c r="A28" s="40" t="str">
        <f>A22</f>
        <v>Block 2</v>
      </c>
      <c r="B28" s="35" t="s">
        <v>24</v>
      </c>
      <c r="C28" s="35" t="s">
        <v>11</v>
      </c>
      <c r="D28" s="80">
        <f t="shared" si="4"/>
        <v>0</v>
      </c>
      <c r="E28" s="80">
        <f t="shared" si="4"/>
        <v>1.5465</v>
      </c>
      <c r="F28" s="80">
        <f t="shared" si="4"/>
        <v>1.5790657211538457</v>
      </c>
      <c r="G28" s="80">
        <f t="shared" si="4"/>
        <v>1.6123172012435274</v>
      </c>
      <c r="H28" s="80">
        <f t="shared" si="4"/>
        <v>1.6462688807697128</v>
      </c>
    </row>
    <row r="29" spans="1:8" s="35" customFormat="1" x14ac:dyDescent="0.3">
      <c r="A29" s="40" t="str">
        <f>A23</f>
        <v>Block 3</v>
      </c>
      <c r="B29" s="35" t="s">
        <v>24</v>
      </c>
      <c r="C29" s="35" t="s">
        <v>11</v>
      </c>
      <c r="D29" s="80">
        <f t="shared" si="4"/>
        <v>0</v>
      </c>
      <c r="E29" s="80">
        <f t="shared" si="4"/>
        <v>0</v>
      </c>
      <c r="F29" s="80">
        <f t="shared" si="4"/>
        <v>0</v>
      </c>
      <c r="G29" s="80">
        <f t="shared" si="4"/>
        <v>0</v>
      </c>
      <c r="H29" s="80">
        <f t="shared" si="4"/>
        <v>0</v>
      </c>
    </row>
    <row r="30" spans="1:8" s="35" customFormat="1" x14ac:dyDescent="0.3">
      <c r="A30" s="40" t="str">
        <f>A24</f>
        <v>Block 4</v>
      </c>
      <c r="B30" s="35" t="s">
        <v>24</v>
      </c>
      <c r="C30" s="35" t="s">
        <v>11</v>
      </c>
      <c r="D30" s="80">
        <f t="shared" si="4"/>
        <v>0</v>
      </c>
      <c r="E30" s="80">
        <f t="shared" si="4"/>
        <v>0</v>
      </c>
      <c r="F30" s="80">
        <f t="shared" si="4"/>
        <v>0</v>
      </c>
      <c r="G30" s="80">
        <f t="shared" si="4"/>
        <v>0</v>
      </c>
      <c r="H30" s="80">
        <f t="shared" si="4"/>
        <v>0</v>
      </c>
    </row>
    <row r="31" spans="1:8" s="35" customFormat="1" x14ac:dyDescent="0.3">
      <c r="A31" s="38" t="str">
        <f>Dist5</f>
        <v>Jemena</v>
      </c>
      <c r="D31" s="39"/>
      <c r="E31" s="39"/>
      <c r="F31" s="39"/>
      <c r="G31" s="39"/>
      <c r="H31" s="39"/>
    </row>
    <row r="32" spans="1:8" s="35" customFormat="1" x14ac:dyDescent="0.3">
      <c r="A32" s="40" t="str">
        <f>A26</f>
        <v>Standing</v>
      </c>
      <c r="B32" s="35" t="s">
        <v>24</v>
      </c>
      <c r="C32" s="35" t="s">
        <v>28</v>
      </c>
      <c r="D32" s="80">
        <f>IF($C640="$/pa",D640*100,D640)</f>
        <v>0</v>
      </c>
      <c r="E32" s="80">
        <f>IF($C640="$/pa",E640*100,E640)</f>
        <v>328.5</v>
      </c>
      <c r="F32" s="80">
        <f>IF($C640="$/pa",F640*100,F640)</f>
        <v>335.4174519230769</v>
      </c>
      <c r="G32" s="80">
        <f>IF($C640="$/pa",G640*100,G640)</f>
        <v>342.4805694203032</v>
      </c>
      <c r="H32" s="80">
        <f>IF($C640="$/pa",H640*100,H640)</f>
        <v>349.69241987251911</v>
      </c>
    </row>
    <row r="33" spans="1:8" s="35" customFormat="1" x14ac:dyDescent="0.3">
      <c r="A33" s="40" t="str">
        <f>A27</f>
        <v>Block 1</v>
      </c>
      <c r="B33" s="35" t="s">
        <v>24</v>
      </c>
      <c r="C33" s="35" t="s">
        <v>11</v>
      </c>
      <c r="D33" s="80">
        <f t="shared" ref="D33:H36" si="5">IF($C641="$/kwh",D641*100,IF($C641="$/mwh",D641*100/1000,D641))</f>
        <v>0</v>
      </c>
      <c r="E33" s="80">
        <f t="shared" si="5"/>
        <v>0.93379999999999996</v>
      </c>
      <c r="F33" s="80">
        <f t="shared" si="5"/>
        <v>0.95346367307692292</v>
      </c>
      <c r="G33" s="80">
        <f t="shared" si="5"/>
        <v>0.97354141773113878</v>
      </c>
      <c r="H33" s="80">
        <f t="shared" si="5"/>
        <v>0.99404195335451551</v>
      </c>
    </row>
    <row r="34" spans="1:8" s="35" customFormat="1" x14ac:dyDescent="0.3">
      <c r="A34" s="40" t="str">
        <f>A28</f>
        <v>Block 2</v>
      </c>
      <c r="B34" s="35" t="s">
        <v>24</v>
      </c>
      <c r="C34" s="35" t="s">
        <v>11</v>
      </c>
      <c r="D34" s="80">
        <f t="shared" si="5"/>
        <v>0</v>
      </c>
      <c r="E34" s="80">
        <f t="shared" si="5"/>
        <v>0</v>
      </c>
      <c r="F34" s="80">
        <f t="shared" si="5"/>
        <v>0</v>
      </c>
      <c r="G34" s="80">
        <f t="shared" si="5"/>
        <v>0</v>
      </c>
      <c r="H34" s="80">
        <f t="shared" si="5"/>
        <v>0</v>
      </c>
    </row>
    <row r="35" spans="1:8" s="35" customFormat="1" x14ac:dyDescent="0.3">
      <c r="A35" s="40" t="str">
        <f>A29</f>
        <v>Block 3</v>
      </c>
      <c r="B35" s="35" t="s">
        <v>24</v>
      </c>
      <c r="C35" s="35" t="s">
        <v>11</v>
      </c>
      <c r="D35" s="80">
        <f t="shared" si="5"/>
        <v>0</v>
      </c>
      <c r="E35" s="80">
        <f t="shared" si="5"/>
        <v>0</v>
      </c>
      <c r="F35" s="80">
        <f t="shared" si="5"/>
        <v>0</v>
      </c>
      <c r="G35" s="80">
        <f t="shared" si="5"/>
        <v>0</v>
      </c>
      <c r="H35" s="80">
        <f t="shared" si="5"/>
        <v>0</v>
      </c>
    </row>
    <row r="36" spans="1:8" s="35" customFormat="1" x14ac:dyDescent="0.3">
      <c r="A36" s="40" t="str">
        <f>A30</f>
        <v>Block 4</v>
      </c>
      <c r="B36" s="35" t="s">
        <v>24</v>
      </c>
      <c r="C36" s="35" t="s">
        <v>11</v>
      </c>
      <c r="D36" s="80">
        <f t="shared" si="5"/>
        <v>0</v>
      </c>
      <c r="E36" s="80">
        <f t="shared" si="5"/>
        <v>0</v>
      </c>
      <c r="F36" s="80">
        <f t="shared" si="5"/>
        <v>0</v>
      </c>
      <c r="G36" s="80">
        <f t="shared" si="5"/>
        <v>0</v>
      </c>
      <c r="H36" s="80">
        <f t="shared" si="5"/>
        <v>0</v>
      </c>
    </row>
    <row r="37" spans="1:8" s="35" customFormat="1" x14ac:dyDescent="0.3"/>
    <row r="38" spans="1:8" s="37" customFormat="1" ht="18.75" x14ac:dyDescent="0.3">
      <c r="A38" s="36" t="s">
        <v>12</v>
      </c>
    </row>
    <row r="39" spans="1:8" s="35" customFormat="1" x14ac:dyDescent="0.3">
      <c r="A39" s="38" t="str">
        <f>Dist1</f>
        <v>Citipower</v>
      </c>
    </row>
    <row r="40" spans="1:8" s="35" customFormat="1" x14ac:dyDescent="0.3">
      <c r="A40" s="35" t="s">
        <v>17</v>
      </c>
      <c r="B40" s="35" t="s">
        <v>24</v>
      </c>
      <c r="C40" s="35" t="s">
        <v>28</v>
      </c>
      <c r="D40" s="80">
        <f>IF($C651="$/pa",D651*100,D651)-IF('Input Global'!$B$63="yes",D79,0)</f>
        <v>0</v>
      </c>
      <c r="E40" s="80">
        <f>IF($C651="$/pa",E651*100,E651)-IF('Input Global'!$B$63="yes",E79,0)</f>
        <v>1501.93</v>
      </c>
      <c r="F40" s="80">
        <f>IF($C651="$/pa",F651*100,F651)-IF('Input Global'!$B$63="yes",F79,0)</f>
        <v>1654.0407575000002</v>
      </c>
      <c r="G40" s="80">
        <f>IF($C651="$/pa",G651*100,G651)-IF('Input Global'!$B$63="yes",G79,0)</f>
        <v>1839.6435632871248</v>
      </c>
      <c r="H40" s="80">
        <f>IF($C651="$/pa",H651*100,H651)-IF('Input Global'!$B$63="yes",H79,0)</f>
        <v>2045.0256642487966</v>
      </c>
    </row>
    <row r="41" spans="1:8" s="35" customFormat="1" x14ac:dyDescent="0.3">
      <c r="A41" s="35" t="s">
        <v>18</v>
      </c>
      <c r="B41" s="35" t="s">
        <v>24</v>
      </c>
      <c r="C41" s="35" t="s">
        <v>11</v>
      </c>
      <c r="D41" s="80">
        <f>IF($C652="$/kwh",D652*100,IF($C652="$/mwh",D652*100/1000,D652))-IF('Input Global'!$B$63="yes",D80,0)</f>
        <v>0</v>
      </c>
      <c r="E41" s="80">
        <f>IF($C652="$/kwh",E652*100,IF($C652="$/mwh",E652*100/1000,E652))-IF('Input Global'!$B$63="yes",E80,0)</f>
        <v>3.9803000000000002</v>
      </c>
      <c r="F41" s="80">
        <f>IF($C652="$/kwh",F652*100,IF($C652="$/mwh",F652*100/1000,F652))-IF('Input Global'!$B$63="yes",F80,0)</f>
        <v>4.35862491475</v>
      </c>
      <c r="G41" s="80">
        <f>IF($C652="$/kwh",G652*100,IF($C652="$/mwh",G652*100/1000,G652))-IF('Input Global'!$B$63="yes",G80,0)</f>
        <v>4.818664472365513</v>
      </c>
      <c r="H41" s="80">
        <f>IF($C652="$/kwh",H652*100,IF($C652="$/mwh",H652*100/1000,H652))-IF('Input Global'!$B$63="yes",H80,0)</f>
        <v>5.3270502283730865</v>
      </c>
    </row>
    <row r="42" spans="1:8" s="35" customFormat="1" x14ac:dyDescent="0.3">
      <c r="A42" s="35" t="s">
        <v>19</v>
      </c>
      <c r="B42" s="35" t="s">
        <v>24</v>
      </c>
      <c r="C42" s="35" t="s">
        <v>11</v>
      </c>
      <c r="D42" s="80">
        <f>IF($C653="$/kwh",D653*100,IF($C653="$/mwh",D653*100/1000,D653))-IF('Input Global'!$B$63="yes",D81,0)</f>
        <v>0</v>
      </c>
      <c r="E42" s="80">
        <f>IF($C653="$/kwh",E653*100,IF($C653="$/mwh",E653*100/1000,E653))-IF('Input Global'!$B$63="yes",E81,0)</f>
        <v>5.4845000000000006</v>
      </c>
      <c r="F42" s="80">
        <f>IF($C653="$/kwh",F653*100,IF($C653="$/mwh",F653*100/1000,F653))-IF('Input Global'!$B$63="yes",F81,0)</f>
        <v>6.0049642937499996</v>
      </c>
      <c r="G42" s="80">
        <f>IF($C653="$/kwh",G653*100,IF($C653="$/mwh",G653*100/1000,G653))-IF('Input Global'!$B$63="yes",G81,0)</f>
        <v>6.6377871691915633</v>
      </c>
      <c r="H42" s="80">
        <f>IF($C653="$/kwh",H653*100,IF($C653="$/mwh",H653*100/1000,H653))-IF('Input Global'!$B$63="yes",H81,0)</f>
        <v>7.3370898522310295</v>
      </c>
    </row>
    <row r="43" spans="1:8" s="35" customFormat="1" x14ac:dyDescent="0.3">
      <c r="A43" s="35" t="s">
        <v>20</v>
      </c>
      <c r="B43" s="35" t="s">
        <v>24</v>
      </c>
      <c r="C43" s="35" t="s">
        <v>11</v>
      </c>
      <c r="D43" s="80">
        <f>IF($C654="$/kwh",D654*100,IF($C654="$/mwh",D654*100/1000,D654))-IF('Input Global'!$B$63="yes",D82,0)</f>
        <v>0</v>
      </c>
      <c r="E43" s="80">
        <f>IF($C654="$/kwh",E654*100,IF($C654="$/mwh",E654*100/1000,E654))-IF('Input Global'!$B$63="yes",E82,0)</f>
        <v>0</v>
      </c>
      <c r="F43" s="80">
        <f>IF($C654="$/kwh",F654*100,IF($C654="$/mwh",F654*100/1000,F654))-IF('Input Global'!$B$63="yes",F82,0)</f>
        <v>0</v>
      </c>
      <c r="G43" s="80">
        <f>IF($C654="$/kwh",G654*100,IF($C654="$/mwh",G654*100/1000,G654))-IF('Input Global'!$B$63="yes",G82,0)</f>
        <v>0</v>
      </c>
      <c r="H43" s="80">
        <f>IF($C654="$/kwh",H654*100,IF($C654="$/mwh",H654*100/1000,H654))-IF('Input Global'!$B$63="yes",H82,0)</f>
        <v>0</v>
      </c>
    </row>
    <row r="44" spans="1:8" s="35" customFormat="1" x14ac:dyDescent="0.3">
      <c r="A44" s="35" t="s">
        <v>81</v>
      </c>
      <c r="B44" s="35" t="s">
        <v>24</v>
      </c>
      <c r="C44" s="35" t="s">
        <v>11</v>
      </c>
      <c r="D44" s="80">
        <f>IF($C655="$/kwh",D655*100,IF($C655="$/mwh",D655*100/1000,D655))-IF('Input Global'!$B$63="yes",D83,0)</f>
        <v>0</v>
      </c>
      <c r="E44" s="80">
        <f>IF($C655="$/kwh",E655*100,IF($C655="$/mwh",E655*100/1000,E655))-IF('Input Global'!$B$63="yes",E83,0)</f>
        <v>0</v>
      </c>
      <c r="F44" s="80">
        <f>IF($C655="$/kwh",F655*100,IF($C655="$/mwh",F655*100/1000,F655))-IF('Input Global'!$B$63="yes",F83,0)</f>
        <v>0</v>
      </c>
      <c r="G44" s="80">
        <f>IF($C655="$/kwh",G655*100,IF($C655="$/mwh",G655*100/1000,G655))-IF('Input Global'!$B$63="yes",G83,0)</f>
        <v>0</v>
      </c>
      <c r="H44" s="80">
        <f>IF($C655="$/kwh",H655*100,IF($C655="$/mwh",H655*100/1000,H655))-IF('Input Global'!$B$63="yes",H83,0)</f>
        <v>0</v>
      </c>
    </row>
    <row r="45" spans="1:8" s="35" customFormat="1" x14ac:dyDescent="0.3">
      <c r="A45" s="38" t="str">
        <f>Dist2</f>
        <v>Powercor</v>
      </c>
      <c r="D45" s="39"/>
      <c r="E45" s="39"/>
      <c r="F45" s="39"/>
      <c r="G45" s="39"/>
      <c r="H45" s="39"/>
    </row>
    <row r="46" spans="1:8" s="35" customFormat="1" x14ac:dyDescent="0.3">
      <c r="A46" s="35" t="str">
        <f>A40</f>
        <v>Standing</v>
      </c>
      <c r="B46" s="35" t="s">
        <v>24</v>
      </c>
      <c r="C46" s="35" t="s">
        <v>28</v>
      </c>
      <c r="D46" s="80">
        <f>IF($C660="$/pa",D660*100,D660)-IF('Input Global'!$B$63="yes",D85,0)</f>
        <v>0</v>
      </c>
      <c r="E46" s="80">
        <f>IF($C660="$/pa",E660*100,E660)-IF('Input Global'!$B$63="yes",E85,0)</f>
        <v>2457.6350000000002</v>
      </c>
      <c r="F46" s="80">
        <f>IF($C660="$/pa",F660*100,F660)-IF('Input Global'!$B$63="yes",F85,0)</f>
        <v>2697.5944526499998</v>
      </c>
      <c r="G46" s="80">
        <f>IF($C660="$/pa",G660*100,G660)-IF('Input Global'!$B$63="yes",G85,0)</f>
        <v>2970.0576515019884</v>
      </c>
      <c r="H46" s="80">
        <f>IF($C660="$/pa",H660*100,H660)-IF('Input Global'!$B$63="yes",H85,0)</f>
        <v>3285.2714913703858</v>
      </c>
    </row>
    <row r="47" spans="1:8" s="35" customFormat="1" x14ac:dyDescent="0.3">
      <c r="A47" s="35" t="str">
        <f>A41</f>
        <v>Block 1</v>
      </c>
      <c r="B47" s="35" t="s">
        <v>24</v>
      </c>
      <c r="C47" s="35" t="s">
        <v>11</v>
      </c>
      <c r="D47" s="80">
        <f>IF($C661="$/kwh",D661*100,IF($C661="$/mwh",D661*100/1000,D661))-IF('Input Global'!$B$63="yes",D86,0)</f>
        <v>0</v>
      </c>
      <c r="E47" s="80">
        <f>IF($C661="$/kwh",E661*100,IF($C661="$/mwh",E661*100/1000,E661))-IF('Input Global'!$B$63="yes",E86,0)</f>
        <v>5.5618499999999997</v>
      </c>
      <c r="F47" s="80">
        <f>IF($C661="$/kwh",F661*100,IF($C661="$/mwh",F661*100/1000,F661))-IF('Input Global'!$B$63="yes",F86,0)</f>
        <v>6.0803053094999999</v>
      </c>
      <c r="G47" s="80">
        <f>IF($C661="$/kwh",G661*100,IF($C661="$/mwh",G661*100/1000,G661))-IF('Input Global'!$B$63="yes",G86,0)</f>
        <v>6.6680530914924123</v>
      </c>
      <c r="H47" s="80">
        <f>IF($C661="$/kwh",H661*100,IF($C661="$/mwh",H661*100/1000,H661))-IF('Input Global'!$B$63="yes",H86,0)</f>
        <v>7.3468765644068617</v>
      </c>
    </row>
    <row r="48" spans="1:8" s="35" customFormat="1" x14ac:dyDescent="0.3">
      <c r="A48" s="35" t="str">
        <f>A42</f>
        <v>Block 2</v>
      </c>
      <c r="B48" s="35" t="s">
        <v>24</v>
      </c>
      <c r="C48" s="35" t="s">
        <v>11</v>
      </c>
      <c r="D48" s="80">
        <f>IF($C662="$/kwh",D662*100,IF($C662="$/mwh",D662*100/1000,D662))-IF('Input Global'!$B$63="yes",D87,0)</f>
        <v>0</v>
      </c>
      <c r="E48" s="80">
        <f>IF($C662="$/kwh",E662*100,IF($C662="$/mwh",E662*100/1000,E662))-IF('Input Global'!$B$63="yes",E87,0)</f>
        <v>6.7706</v>
      </c>
      <c r="F48" s="80">
        <f>IF($C662="$/kwh",F662*100,IF($C662="$/mwh",F662*100/1000,F662))-IF('Input Global'!$B$63="yes",F87,0)</f>
        <v>7.3980724720000008</v>
      </c>
      <c r="G48" s="80">
        <f>IF($C662="$/kwh",G662*100,IF($C662="$/mwh",G662*100/1000,G662))-IF('Input Global'!$B$63="yes",G87,0)</f>
        <v>8.109262092939602</v>
      </c>
      <c r="H48" s="80">
        <f>IF($C662="$/kwh",H662*100,IF($C662="$/mwh",H662*100/1000,H662))-IF('Input Global'!$B$63="yes",H87,0)</f>
        <v>8.9304770151970327</v>
      </c>
    </row>
    <row r="49" spans="1:8" s="35" customFormat="1" x14ac:dyDescent="0.3">
      <c r="A49" s="35" t="str">
        <f>A43</f>
        <v>Block 3</v>
      </c>
      <c r="B49" s="35" t="s">
        <v>24</v>
      </c>
      <c r="C49" s="35" t="s">
        <v>11</v>
      </c>
      <c r="D49" s="80">
        <f>IF($C663="$/kwh",D663*100,IF($C663="$/mwh",D663*100/1000,D663))-IF('Input Global'!$B$63="yes",D88,0)</f>
        <v>0</v>
      </c>
      <c r="E49" s="80">
        <f>IF($C663="$/kwh",E663*100,IF($C663="$/mwh",E663*100/1000,E663))-IF('Input Global'!$B$63="yes",E88,0)</f>
        <v>7.8074499999999993</v>
      </c>
      <c r="F49" s="80">
        <f>IF($C663="$/kwh",F663*100,IF($C663="$/mwh",F663*100/1000,F663))-IF('Input Global'!$B$63="yes",F88,0)</f>
        <v>8.5284359735000006</v>
      </c>
      <c r="G49" s="80">
        <f>IF($C663="$/kwh",G663*100,IF($C663="$/mwh",G663*100/1000,G663))-IF('Input Global'!$B$63="yes",G88,0)</f>
        <v>9.3455123954426096</v>
      </c>
      <c r="H49" s="80">
        <f>IF($C663="$/kwh",H663*100,IF($C663="$/mwh",H663*100/1000,H663))-IF('Input Global'!$B$63="yes",H88,0)</f>
        <v>10.288868847587338</v>
      </c>
    </row>
    <row r="50" spans="1:8" s="35" customFormat="1" x14ac:dyDescent="0.3">
      <c r="A50" s="35" t="str">
        <f>A44</f>
        <v>Block 4</v>
      </c>
      <c r="B50" s="35" t="s">
        <v>24</v>
      </c>
      <c r="C50" s="35" t="s">
        <v>11</v>
      </c>
      <c r="D50" s="80">
        <f>IF($C664="$/kwh",D664*100,IF($C664="$/mwh",D664*100/1000,D664))-IF('Input Global'!$B$63="yes",D89,0)</f>
        <v>0</v>
      </c>
      <c r="E50" s="80">
        <f>IF($C664="$/kwh",E664*100,IF($C664="$/mwh",E664*100/1000,E664))-IF('Input Global'!$B$63="yes",E89,0)</f>
        <v>8.8444500000000001</v>
      </c>
      <c r="F50" s="80">
        <f>IF($C664="$/kwh",F664*100,IF($C664="$/mwh",F664*100/1000,F664))-IF('Input Global'!$B$63="yes",F89,0)</f>
        <v>9.6589630035000038</v>
      </c>
      <c r="G50" s="80">
        <f>IF($C664="$/kwh",G664*100,IF($C664="$/mwh",G664*100/1000,G664))-IF('Input Global'!$B$63="yes",G89,0)</f>
        <v>10.581941544977864</v>
      </c>
      <c r="H50" s="80">
        <f>IF($C664="$/kwh",H664*100,IF($C664="$/mwh",H664*100/1000,H664))-IF('Input Global'!$B$63="yes",H89,0)</f>
        <v>11.647457197096674</v>
      </c>
    </row>
    <row r="51" spans="1:8" s="35" customFormat="1" x14ac:dyDescent="0.3">
      <c r="A51" s="38" t="str">
        <f>Dist3</f>
        <v>SP Ausnet</v>
      </c>
      <c r="D51" s="39"/>
      <c r="E51" s="39"/>
      <c r="F51" s="39"/>
      <c r="G51" s="39"/>
      <c r="H51" s="39"/>
    </row>
    <row r="52" spans="1:8" s="35" customFormat="1" x14ac:dyDescent="0.3">
      <c r="A52" s="35" t="str">
        <f>A46</f>
        <v>Standing</v>
      </c>
      <c r="B52" s="35" t="s">
        <v>24</v>
      </c>
      <c r="C52" s="35" t="s">
        <v>28</v>
      </c>
      <c r="D52" s="80">
        <f>IF($C669="$/pa",D669*100,D669)-IF('Input Global'!$B$63="yes",D91,0)</f>
        <v>0</v>
      </c>
      <c r="E52" s="80">
        <f>IF($C669="$/pa",E669*100,E669)-IF('Input Global'!$B$63="yes",E91,0)</f>
        <v>387</v>
      </c>
      <c r="F52" s="80">
        <f>IF($C669="$/pa",F669*100,F669)-IF('Input Global'!$B$63="yes",F91,0)</f>
        <v>430.75768499999992</v>
      </c>
      <c r="G52" s="80">
        <f>IF($C669="$/pa",G669*100,G669)-IF('Input Global'!$B$63="yes",G91,0)</f>
        <v>484.48178262962483</v>
      </c>
      <c r="H52" s="80">
        <f>IF($C669="$/pa",H669*100,H669)-IF('Input Global'!$B$63="yes",H91,0)</f>
        <v>543.30863268553276</v>
      </c>
    </row>
    <row r="53" spans="1:8" s="35" customFormat="1" x14ac:dyDescent="0.3">
      <c r="A53" s="35" t="str">
        <f>A47</f>
        <v>Block 1</v>
      </c>
      <c r="B53" s="35" t="s">
        <v>24</v>
      </c>
      <c r="C53" s="35" t="s">
        <v>11</v>
      </c>
      <c r="D53" s="80">
        <f>IF($C670="$/kwh",D670*100,IF($C670="$/mwh",D670*100/1000,D670))-IF('Input Global'!$B$63="yes",D92,0)</f>
        <v>0</v>
      </c>
      <c r="E53" s="80">
        <f>IF($C670="$/kwh",E670*100,IF($C670="$/mwh",E670*100/1000,E670))-IF('Input Global'!$B$63="yes",E92,0)</f>
        <v>7.1995000000000005</v>
      </c>
      <c r="F53" s="80">
        <f>IF($C670="$/kwh",F670*100,IF($C670="$/mwh",F670*100/1000,F670))-IF('Input Global'!$B$63="yes",F92,0)</f>
        <v>7.7733110525000004</v>
      </c>
      <c r="G53" s="80">
        <f>IF($C670="$/kwh",G670*100,IF($C670="$/mwh",G670*100/1000,G670))-IF('Input Global'!$B$63="yes",G92,0)</f>
        <v>8.4639882904950614</v>
      </c>
      <c r="H53" s="80">
        <f>IF($C670="$/kwh",H670*100,IF($C670="$/mwh",H670*100/1000,H670))-IF('Input Global'!$B$63="yes",H92,0)</f>
        <v>9.2153750084487669</v>
      </c>
    </row>
    <row r="54" spans="1:8" s="35" customFormat="1" x14ac:dyDescent="0.3">
      <c r="A54" s="35" t="str">
        <f>A48</f>
        <v>Block 2</v>
      </c>
      <c r="B54" s="35" t="s">
        <v>24</v>
      </c>
      <c r="C54" s="35" t="s">
        <v>11</v>
      </c>
      <c r="D54" s="80">
        <f>IF($C671="$/kwh",D671*100,IF($C671="$/mwh",D671*100/1000,D671))-IF('Input Global'!$B$63="yes",D93,0)</f>
        <v>0</v>
      </c>
      <c r="E54" s="80">
        <f>IF($C671="$/kwh",E671*100,IF($C671="$/mwh",E671*100/1000,E671))-IF('Input Global'!$B$63="yes",E93,0)</f>
        <v>6.63</v>
      </c>
      <c r="F54" s="80">
        <f>IF($C671="$/kwh",F671*100,IF($C671="$/mwh",F671*100/1000,F671))-IF('Input Global'!$B$63="yes",F93,0)</f>
        <v>7.1591024550000002</v>
      </c>
      <c r="G54" s="80">
        <f>IF($C671="$/kwh",G671*100,IF($C671="$/mwh",G671*100/1000,G671))-IF('Input Global'!$B$63="yes",G93,0)</f>
        <v>7.7960210854988734</v>
      </c>
      <c r="H54" s="80">
        <f>IF($C671="$/kwh",H671*100,IF($C671="$/mwh",H671*100/1000,H671))-IF('Input Global'!$B$63="yes",H93,0)</f>
        <v>8.4889439738352852</v>
      </c>
    </row>
    <row r="55" spans="1:8" s="35" customFormat="1" x14ac:dyDescent="0.3">
      <c r="A55" s="35" t="str">
        <f>A49</f>
        <v>Block 3</v>
      </c>
      <c r="B55" s="35" t="s">
        <v>24</v>
      </c>
      <c r="C55" s="35" t="s">
        <v>11</v>
      </c>
      <c r="D55" s="80">
        <f>IF($C672="$/kwh",D672*100,IF($C672="$/mwh",D672*100/1000,D672))-IF('Input Global'!$B$63="yes",D94,0)</f>
        <v>0</v>
      </c>
      <c r="E55" s="80">
        <f>IF($C672="$/kwh",E672*100,IF($C672="$/mwh",E672*100/1000,E672))-IF('Input Global'!$B$63="yes",E94,0)</f>
        <v>0</v>
      </c>
      <c r="F55" s="80">
        <f>IF($C672="$/kwh",F672*100,IF($C672="$/mwh",F672*100/1000,F672))-IF('Input Global'!$B$63="yes",F94,0)</f>
        <v>0</v>
      </c>
      <c r="G55" s="80">
        <f>IF($C672="$/kwh",G672*100,IF($C672="$/mwh",G672*100/1000,G672))-IF('Input Global'!$B$63="yes",G94,0)</f>
        <v>0</v>
      </c>
      <c r="H55" s="80">
        <f>IF($C672="$/kwh",H672*100,IF($C672="$/mwh",H672*100/1000,H672))-IF('Input Global'!$B$63="yes",H94,0)</f>
        <v>0</v>
      </c>
    </row>
    <row r="56" spans="1:8" s="35" customFormat="1" x14ac:dyDescent="0.3">
      <c r="A56" s="35" t="str">
        <f>A50</f>
        <v>Block 4</v>
      </c>
      <c r="B56" s="35" t="s">
        <v>24</v>
      </c>
      <c r="C56" s="35" t="s">
        <v>11</v>
      </c>
      <c r="D56" s="80">
        <f>IF($C673="$/kwh",D673*100,IF($C673="$/mwh",D673*100/1000,D673))-IF('Input Global'!$B$63="yes",D95,0)</f>
        <v>0</v>
      </c>
      <c r="E56" s="80">
        <f>IF($C673="$/kwh",E673*100,IF($C673="$/mwh",E673*100/1000,E673))-IF('Input Global'!$B$63="yes",E95,0)</f>
        <v>0</v>
      </c>
      <c r="F56" s="80">
        <f>IF($C673="$/kwh",F673*100,IF($C673="$/mwh",F673*100/1000,F673))-IF('Input Global'!$B$63="yes",F95,0)</f>
        <v>0</v>
      </c>
      <c r="G56" s="80">
        <f>IF($C673="$/kwh",G673*100,IF($C673="$/mwh",G673*100/1000,G673))-IF('Input Global'!$B$63="yes",G95,0)</f>
        <v>0</v>
      </c>
      <c r="H56" s="80">
        <f>IF($C673="$/kwh",H673*100,IF($C673="$/mwh",H673*100/1000,H673))-IF('Input Global'!$B$63="yes",H95,0)</f>
        <v>0</v>
      </c>
    </row>
    <row r="57" spans="1:8" s="35" customFormat="1" x14ac:dyDescent="0.3">
      <c r="A57" s="38" t="str">
        <f>Dist4</f>
        <v>United</v>
      </c>
      <c r="D57" s="39"/>
      <c r="E57" s="39"/>
      <c r="F57" s="39"/>
      <c r="G57" s="39"/>
      <c r="H57" s="39"/>
    </row>
    <row r="58" spans="1:8" s="35" customFormat="1" x14ac:dyDescent="0.3">
      <c r="A58" s="35" t="str">
        <f>A52</f>
        <v>Standing</v>
      </c>
      <c r="B58" s="35" t="s">
        <v>24</v>
      </c>
      <c r="C58" s="35" t="s">
        <v>28</v>
      </c>
      <c r="D58" s="80">
        <f>IF($C678="$/pa",D678*100,D678)-IF('Input Global'!$B$63="yes",D97,0)</f>
        <v>0</v>
      </c>
      <c r="E58" s="106">
        <f>IF($C678="$/pa",E678*100,E678)-IF('Input Global'!$B$63="yes",E97,0)</f>
        <v>2013.8024999999998</v>
      </c>
      <c r="F58" s="106">
        <f>IF($C678="$/pa",F678*100,F678)-IF('Input Global'!$B$63="yes",F97,0)</f>
        <v>2231.5451535749999</v>
      </c>
      <c r="G58" s="106">
        <f>IF($C678="$/pa",G678*100,G678)-IF('Input Global'!$B$63="yes",G97,0)</f>
        <v>2591.8999598745622</v>
      </c>
      <c r="H58" s="106">
        <f>IF($C678="$/pa",H678*100,H678)-IF('Input Global'!$B$63="yes",H97,0)</f>
        <v>3000.0958239577876</v>
      </c>
    </row>
    <row r="59" spans="1:8" s="35" customFormat="1" x14ac:dyDescent="0.3">
      <c r="A59" s="35" t="str">
        <f>A53</f>
        <v>Block 1</v>
      </c>
      <c r="B59" s="35" t="s">
        <v>24</v>
      </c>
      <c r="C59" s="35" t="s">
        <v>11</v>
      </c>
      <c r="D59" s="80">
        <f>IF($C679="$/kwh",D679*100,IF($C679="$/mwh",D679*100/1000,D679))-IF('Input Global'!$B$63="yes",D98,0)</f>
        <v>0</v>
      </c>
      <c r="E59" s="106">
        <f>IF($C679="$/kwh",E679*100,IF($C679="$/mwh",E679*100/1000,E679))-IF('Input Global'!$B$63="yes",E98,0)</f>
        <v>6.8135000000000003</v>
      </c>
      <c r="F59" s="106">
        <f>IF($C679="$/kwh",F679*100,IF($C679="$/mwh",F679*100/1000,F679))-IF('Input Global'!$B$63="yes",F98,0)</f>
        <v>7.4007725987499997</v>
      </c>
      <c r="G59" s="106">
        <f>IF($C679="$/kwh",G679*100,IF($C679="$/mwh",G679*100/1000,G679))-IF('Input Global'!$B$63="yes",G98,0)</f>
        <v>8.3443711050906249</v>
      </c>
      <c r="H59" s="106">
        <f>IF($C679="$/kwh",H679*100,IF($C679="$/mwh",H679*100/1000,H679))-IF('Input Global'!$B$63="yes",H98,0)</f>
        <v>9.4082784209896815</v>
      </c>
    </row>
    <row r="60" spans="1:8" s="35" customFormat="1" x14ac:dyDescent="0.3">
      <c r="A60" s="35" t="str">
        <f>A54</f>
        <v>Block 2</v>
      </c>
      <c r="B60" s="35" t="s">
        <v>24</v>
      </c>
      <c r="C60" s="35" t="s">
        <v>11</v>
      </c>
      <c r="D60" s="80">
        <f>IF($C680="$/kwh",D680*100,IF($C680="$/mwh",D680*100/1000,D680))-IF('Input Global'!$B$63="yes",D99,0)</f>
        <v>0</v>
      </c>
      <c r="E60" s="106">
        <f>IF($C680="$/kwh",E680*100,IF($C680="$/mwh",E680*100/1000,E680))-IF('Input Global'!$B$63="yes",E99,0)</f>
        <v>4.3864999999999998</v>
      </c>
      <c r="F60" s="106">
        <f>IF($C680="$/kwh",F680*100,IF($C680="$/mwh",F680*100/1000,F680))-IF('Input Global'!$B$63="yes",F99,0)</f>
        <v>4.7645834012500003</v>
      </c>
      <c r="G60" s="106">
        <f>IF($C680="$/kwh",G680*100,IF($C680="$/mwh",G680*100/1000,G680))-IF('Input Global'!$B$63="yes",G99,0)</f>
        <v>5.3720677849093752</v>
      </c>
      <c r="H60" s="106">
        <f>IF($C680="$/kwh",H680*100,IF($C680="$/mwh",H680*100/1000,H680))-IF('Input Global'!$B$63="yes",H99,0)</f>
        <v>6.0570064274853213</v>
      </c>
    </row>
    <row r="61" spans="1:8" s="35" customFormat="1" x14ac:dyDescent="0.3">
      <c r="A61" s="35" t="str">
        <f>A55</f>
        <v>Block 3</v>
      </c>
      <c r="B61" s="35" t="s">
        <v>24</v>
      </c>
      <c r="C61" s="35" t="s">
        <v>11</v>
      </c>
      <c r="D61" s="80">
        <f>IF($C681="$/kwh",D681*100,IF($C681="$/mwh",D681*100/1000,D681))-IF('Input Global'!$B$63="yes",D100,0)</f>
        <v>0</v>
      </c>
      <c r="E61" s="106">
        <f>IF($C681="$/kwh",E681*100,IF($C681="$/mwh",E681*100/1000,E681))-IF('Input Global'!$B$63="yes",E100,0)</f>
        <v>0</v>
      </c>
      <c r="F61" s="106">
        <f>IF($C681="$/kwh",F681*100,IF($C681="$/mwh",F681*100/1000,F681))-IF('Input Global'!$B$63="yes",F100,0)</f>
        <v>0</v>
      </c>
      <c r="G61" s="106">
        <f>IF($C681="$/kwh",G681*100,IF($C681="$/mwh",G681*100/1000,G681))-IF('Input Global'!$B$63="yes",G100,0)</f>
        <v>0</v>
      </c>
      <c r="H61" s="106">
        <f>IF($C681="$/kwh",H681*100,IF($C681="$/mwh",H681*100/1000,H681))-IF('Input Global'!$B$63="yes",H100,0)</f>
        <v>0</v>
      </c>
    </row>
    <row r="62" spans="1:8" s="35" customFormat="1" x14ac:dyDescent="0.3">
      <c r="A62" s="35" t="str">
        <f>A56</f>
        <v>Block 4</v>
      </c>
      <c r="B62" s="35" t="s">
        <v>24</v>
      </c>
      <c r="C62" s="35" t="s">
        <v>11</v>
      </c>
      <c r="D62" s="80">
        <f>IF($C682="$/kwh",D682*100,IF($C682="$/mwh",D682*100/1000,D682))-IF('Input Global'!$B$63="yes",D101,0)</f>
        <v>0</v>
      </c>
      <c r="E62" s="106">
        <f>IF($C682="$/kwh",E682*100,IF($C682="$/mwh",E682*100/1000,E682))-IF('Input Global'!$B$63="yes",E101,0)</f>
        <v>0</v>
      </c>
      <c r="F62" s="106">
        <f>IF($C682="$/kwh",F682*100,IF($C682="$/mwh",F682*100/1000,F682))-IF('Input Global'!$B$63="yes",F101,0)</f>
        <v>0</v>
      </c>
      <c r="G62" s="106">
        <f>IF($C682="$/kwh",G682*100,IF($C682="$/mwh",G682*100/1000,G682))-IF('Input Global'!$B$63="yes",G101,0)</f>
        <v>0</v>
      </c>
      <c r="H62" s="106">
        <f>IF($C682="$/kwh",H682*100,IF($C682="$/mwh",H682*100/1000,H682))-IF('Input Global'!$B$63="yes",H101,0)</f>
        <v>0</v>
      </c>
    </row>
    <row r="63" spans="1:8" s="35" customFormat="1" x14ac:dyDescent="0.3">
      <c r="A63" s="38" t="str">
        <f>Dist5</f>
        <v>Jemena</v>
      </c>
      <c r="D63" s="39"/>
      <c r="E63" s="39"/>
      <c r="F63" s="39"/>
      <c r="G63" s="39"/>
      <c r="H63" s="39"/>
    </row>
    <row r="64" spans="1:8" s="35" customFormat="1" x14ac:dyDescent="0.3">
      <c r="A64" s="35" t="str">
        <f>A58</f>
        <v>Standing</v>
      </c>
      <c r="B64" s="35" t="s">
        <v>24</v>
      </c>
      <c r="C64" s="35" t="s">
        <v>28</v>
      </c>
      <c r="D64" s="80">
        <f>IF($C687="$/pa",D687*100,D687)-IF('Input Global'!$B$63="yes",D103,0)</f>
        <v>0</v>
      </c>
      <c r="E64" s="80">
        <f>IF($C687="$/pa",E687*100,E687)-IF('Input Global'!$B$63="yes",E103,0)</f>
        <v>2726.5</v>
      </c>
      <c r="F64" s="80">
        <f>IF($C687="$/pa",F687*100,F687)-IF('Input Global'!$B$63="yes",F103,0)</f>
        <v>3017.3971012499992</v>
      </c>
      <c r="G64" s="80">
        <f>IF($C687="$/pa",G687*100,G687)-IF('Input Global'!$B$63="yes",G103,0)</f>
        <v>3324.7944309398426</v>
      </c>
      <c r="H64" s="80">
        <f>IF($C687="$/pa",H687*100,H687)-IF('Input Global'!$B$63="yes",H103,0)</f>
        <v>3523.7833776315915</v>
      </c>
    </row>
    <row r="65" spans="1:8" s="35" customFormat="1" x14ac:dyDescent="0.3">
      <c r="A65" s="35" t="str">
        <f>A59</f>
        <v>Block 1</v>
      </c>
      <c r="B65" s="35" t="s">
        <v>24</v>
      </c>
      <c r="C65" s="35" t="s">
        <v>11</v>
      </c>
      <c r="D65" s="80">
        <f>IF($C688="$/kwh",D688*100,IF($C688="$/mwh",D688*100/1000,D688))-IF('Input Global'!$B$63="yes",D104,0)</f>
        <v>0</v>
      </c>
      <c r="E65" s="106">
        <f>IF($C688="$/kwh",E688*100,IF($C688="$/mwh",E688*100/1000,E688))-IF('Input Global'!$B$63="yes",E104,0)</f>
        <v>6.1516999999999999</v>
      </c>
      <c r="F65" s="106">
        <f>IF($C688="$/kwh",F688*100,IF($C688="$/mwh",F688*100/1000,F688))-IF('Input Global'!$B$63="yes",F104,0)</f>
        <v>6.8120431847499994</v>
      </c>
      <c r="G65" s="106">
        <f>IF($C688="$/kwh",G688*100,IF($C688="$/mwh",G688*100/1000,G688))-IF('Input Global'!$B$63="yes",G104,0)</f>
        <v>7.5098811310714053</v>
      </c>
      <c r="H65" s="106">
        <f>IF($C688="$/kwh",H688*100,IF($C688="$/mwh",H688*100/1000,H688))-IF('Input Global'!$B$63="yes",H104,0)</f>
        <v>7.9611416165472777</v>
      </c>
    </row>
    <row r="66" spans="1:8" s="35" customFormat="1" x14ac:dyDescent="0.3">
      <c r="A66" s="35" t="str">
        <f>A60</f>
        <v>Block 2</v>
      </c>
      <c r="B66" s="35" t="s">
        <v>24</v>
      </c>
      <c r="C66" s="35" t="s">
        <v>11</v>
      </c>
      <c r="D66" s="106">
        <f>IF($C689="$/kwh",D689*100,IF($C689="$/mwh",D689*100/1000,D689))-IF('Input Global'!$B$63="yes",D105,0)</f>
        <v>0</v>
      </c>
      <c r="E66" s="106">
        <f>IF($C689="$/kwh",E689*100,IF($C689="$/mwh",E689*100/1000,E689))-IF('Input Global'!$B$63="yes",E105,0)</f>
        <v>0</v>
      </c>
      <c r="F66" s="106">
        <f>IF($C689="$/kwh",F689*100,IF($C689="$/mwh",F689*100/1000,F689))-IF('Input Global'!$B$63="yes",F105,0)</f>
        <v>0</v>
      </c>
      <c r="G66" s="106">
        <f>IF($C689="$/kwh",G689*100,IF($C689="$/mwh",G689*100/1000,G689))-IF('Input Global'!$B$63="yes",G105,0)</f>
        <v>0</v>
      </c>
      <c r="H66" s="106">
        <f>IF($C689="$/kwh",H689*100,IF($C689="$/mwh",H689*100/1000,H689))-IF('Input Global'!$B$63="yes",H105,0)</f>
        <v>0</v>
      </c>
    </row>
    <row r="67" spans="1:8" s="35" customFormat="1" x14ac:dyDescent="0.3">
      <c r="A67" s="35" t="str">
        <f>A61</f>
        <v>Block 3</v>
      </c>
      <c r="B67" s="35" t="s">
        <v>24</v>
      </c>
      <c r="C67" s="35" t="s">
        <v>11</v>
      </c>
      <c r="D67" s="106">
        <f>IF($C690="$/kwh",D690*100,IF($C690="$/mwh",D690*100/1000,D690))-IF('Input Global'!$B$63="yes",D106,0)</f>
        <v>0</v>
      </c>
      <c r="E67" s="106">
        <f>IF($C690="$/kwh",E690*100,IF($C690="$/mwh",E690*100/1000,E690))-IF('Input Global'!$B$63="yes",E106,0)</f>
        <v>0</v>
      </c>
      <c r="F67" s="106">
        <f>IF($C690="$/kwh",F690*100,IF($C690="$/mwh",F690*100/1000,F690))-IF('Input Global'!$B$63="yes",F106,0)</f>
        <v>0</v>
      </c>
      <c r="G67" s="106">
        <f>IF($C690="$/kwh",G690*100,IF($C690="$/mwh",G690*100/1000,G690))-IF('Input Global'!$B$63="yes",G106,0)</f>
        <v>0</v>
      </c>
      <c r="H67" s="106">
        <f>IF($C690="$/kwh",H690*100,IF($C690="$/mwh",H690*100/1000,H690))-IF('Input Global'!$B$63="yes",H106,0)</f>
        <v>0</v>
      </c>
    </row>
    <row r="68" spans="1:8" s="35" customFormat="1" x14ac:dyDescent="0.3">
      <c r="A68" s="35" t="str">
        <f>A62</f>
        <v>Block 4</v>
      </c>
      <c r="B68" s="35" t="s">
        <v>24</v>
      </c>
      <c r="C68" s="35" t="s">
        <v>11</v>
      </c>
      <c r="D68" s="106">
        <f>IF($C691="$/kwh",D691*100,IF($C691="$/mwh",D691*100/1000,D691))-IF('Input Global'!$B$63="yes",D107,0)</f>
        <v>0</v>
      </c>
      <c r="E68" s="106">
        <f>IF($C691="$/kwh",E691*100,IF($C691="$/mwh",E691*100/1000,E691))-IF('Input Global'!$B$63="yes",E107,0)</f>
        <v>0</v>
      </c>
      <c r="F68" s="106">
        <f>IF($C691="$/kwh",F691*100,IF($C691="$/mwh",F691*100/1000,F691))-IF('Input Global'!$B$63="yes",F107,0)</f>
        <v>0</v>
      </c>
      <c r="G68" s="106">
        <f>IF($C691="$/kwh",G691*100,IF($C691="$/mwh",G691*100/1000,G691))-IF('Input Global'!$B$63="yes",G107,0)</f>
        <v>0</v>
      </c>
      <c r="H68" s="106">
        <f>IF($C691="$/kwh",H691*100,IF($C691="$/mwh",H691*100/1000,H691))-IF('Input Global'!$B$63="yes",H107,0)</f>
        <v>0</v>
      </c>
    </row>
    <row r="69" spans="1:8" s="35" customFormat="1" x14ac:dyDescent="0.3">
      <c r="D69" s="39"/>
      <c r="E69" s="39"/>
      <c r="F69" s="39"/>
      <c r="G69" s="39"/>
      <c r="H69" s="39"/>
    </row>
    <row r="70" spans="1:8" s="35" customFormat="1" x14ac:dyDescent="0.3">
      <c r="A70" s="21" t="s">
        <v>83</v>
      </c>
      <c r="D70" s="39"/>
      <c r="E70" s="39"/>
      <c r="F70" s="39"/>
      <c r="G70" s="39"/>
      <c r="H70" s="39"/>
    </row>
    <row r="71" spans="1:8" s="35" customFormat="1" x14ac:dyDescent="0.3">
      <c r="A71" s="35" t="str">
        <f>Dist1</f>
        <v>Citipower</v>
      </c>
      <c r="B71" s="35" t="s">
        <v>24</v>
      </c>
      <c r="C71" s="35" t="s">
        <v>28</v>
      </c>
      <c r="D71" s="81">
        <f>IF($C697="$/pa",D697*100,D697)</f>
        <v>0</v>
      </c>
      <c r="E71" s="81">
        <f>IF($C697="$/pa",E697*100,E697)</f>
        <v>9534.5</v>
      </c>
      <c r="F71" s="81">
        <f>IF($C697="$/pa",F697*100,F697)</f>
        <v>10998</v>
      </c>
      <c r="G71" s="81">
        <f>IF($C697="$/pa",G697*100,G697)</f>
        <v>12957.999999999998</v>
      </c>
      <c r="H71" s="81">
        <f>IF($C697="$/pa",H697*100,H697)</f>
        <v>14876</v>
      </c>
    </row>
    <row r="72" spans="1:8" s="35" customFormat="1" x14ac:dyDescent="0.3">
      <c r="A72" s="35" t="str">
        <f>Dist2</f>
        <v>Powercor</v>
      </c>
      <c r="B72" s="35" t="s">
        <v>24</v>
      </c>
      <c r="C72" s="35" t="s">
        <v>28</v>
      </c>
      <c r="D72" s="81">
        <f>IF($C700="$/pa",D700*100,D700)</f>
        <v>0</v>
      </c>
      <c r="E72" s="81">
        <f>IF($C700="$/pa",E700*100,E700)</f>
        <v>9898.5</v>
      </c>
      <c r="F72" s="81">
        <f>IF($C700="$/pa",F700*100,F700)</f>
        <v>11033.5</v>
      </c>
      <c r="G72" s="81">
        <f>IF($C700="$/pa",G700*100,G700)</f>
        <v>12226</v>
      </c>
      <c r="H72" s="81">
        <f>IF($C700="$/pa",H700*100,H700)</f>
        <v>13172</v>
      </c>
    </row>
    <row r="73" spans="1:8" s="35" customFormat="1" x14ac:dyDescent="0.3">
      <c r="A73" s="35" t="str">
        <f>Dist3</f>
        <v>SP Ausnet</v>
      </c>
      <c r="B73" s="35" t="s">
        <v>24</v>
      </c>
      <c r="C73" s="35" t="s">
        <v>28</v>
      </c>
      <c r="D73" s="81">
        <f>IF($C703="$/pa",D703*100,D703)</f>
        <v>0</v>
      </c>
      <c r="E73" s="81">
        <f>IF($C703="$/pa",E703*100,E703)</f>
        <v>10054</v>
      </c>
      <c r="F73" s="81">
        <f>IF($C703="$/pa",F703*100,F703)</f>
        <v>11870.766135126409</v>
      </c>
      <c r="G73" s="81">
        <f>IF($C703="$/pa",G703*100,G703)</f>
        <v>14173.794504744439</v>
      </c>
      <c r="H73" s="81">
        <f>IF($C703="$/pa",H703*100,H703)</f>
        <v>16694.096649620849</v>
      </c>
    </row>
    <row r="74" spans="1:8" s="35" customFormat="1" x14ac:dyDescent="0.3">
      <c r="A74" s="35" t="str">
        <f>Dist4</f>
        <v>United</v>
      </c>
      <c r="B74" s="35" t="s">
        <v>24</v>
      </c>
      <c r="C74" s="35" t="s">
        <v>28</v>
      </c>
      <c r="D74" s="81">
        <f>IF($C706="$/pa",D706*100,D706)</f>
        <v>0</v>
      </c>
      <c r="E74" s="107">
        <f>IF($C706="$/pa",E706*100,E706)</f>
        <v>9934.5</v>
      </c>
      <c r="F74" s="107">
        <f>IF($C706="$/pa",F706*100,F706)</f>
        <v>11644.94560012297</v>
      </c>
      <c r="G74" s="107">
        <f>IF($C706="$/pa",G706*100,G706)</f>
        <v>13713.301759857966</v>
      </c>
      <c r="H74" s="107">
        <f>IF($C706="$/pa",H706*100,H706)</f>
        <v>16058.924118769479</v>
      </c>
    </row>
    <row r="75" spans="1:8" s="35" customFormat="1" x14ac:dyDescent="0.3">
      <c r="A75" s="35" t="str">
        <f>Dist5</f>
        <v>Jemena</v>
      </c>
      <c r="B75" s="35" t="s">
        <v>24</v>
      </c>
      <c r="C75" s="35" t="s">
        <v>28</v>
      </c>
      <c r="D75" s="107">
        <f>IF($C709="$/pa",D709*100,D709)</f>
        <v>0</v>
      </c>
      <c r="E75" s="107">
        <f>IF($C709="$/pa",E709*100,E709)</f>
        <v>14532.499999999998</v>
      </c>
      <c r="F75" s="107">
        <f>IF($C709="$/pa",F709*100,F709)</f>
        <v>15339.499999999998</v>
      </c>
      <c r="G75" s="107">
        <f>IF($C709="$/pa",G709*100,G709)</f>
        <v>15403</v>
      </c>
      <c r="H75" s="107">
        <f>IF($C709="$/pa",H709*100,H709)</f>
        <v>15643</v>
      </c>
    </row>
    <row r="76" spans="1:8" s="35" customFormat="1" x14ac:dyDescent="0.3">
      <c r="D76" s="39"/>
      <c r="E76" s="39"/>
      <c r="F76" s="39"/>
      <c r="G76" s="39"/>
      <c r="H76" s="39"/>
    </row>
    <row r="77" spans="1:8" s="35" customFormat="1" x14ac:dyDescent="0.3">
      <c r="A77" s="21" t="s">
        <v>13</v>
      </c>
      <c r="D77" s="39"/>
      <c r="E77" s="39"/>
      <c r="F77" s="39"/>
      <c r="G77" s="39"/>
      <c r="H77" s="39"/>
    </row>
    <row r="78" spans="1:8" s="35" customFormat="1" x14ac:dyDescent="0.3">
      <c r="A78" s="38" t="str">
        <f>Dist1</f>
        <v>Citipower</v>
      </c>
      <c r="D78" s="39"/>
      <c r="E78" s="39"/>
      <c r="F78" s="39"/>
      <c r="G78" s="39"/>
      <c r="H78" s="39"/>
    </row>
    <row r="79" spans="1:8" s="35" customFormat="1" x14ac:dyDescent="0.3">
      <c r="A79" s="40" t="s">
        <v>17</v>
      </c>
      <c r="B79" s="35" t="s">
        <v>24</v>
      </c>
      <c r="C79" s="35" t="s">
        <v>28</v>
      </c>
      <c r="D79" s="80">
        <f>IF($C714="$/pa",D714*100,D714)</f>
        <v>0</v>
      </c>
      <c r="E79" s="106">
        <f t="shared" ref="E79:H79" si="6">IF($C714="$/pa",E714*100,E714)</f>
        <v>146.57</v>
      </c>
      <c r="F79" s="106">
        <f t="shared" si="6"/>
        <v>150.23425</v>
      </c>
      <c r="G79" s="106">
        <f t="shared" si="6"/>
        <v>153.99010624999997</v>
      </c>
      <c r="H79" s="106">
        <f t="shared" si="6"/>
        <v>157.83985890624996</v>
      </c>
    </row>
    <row r="80" spans="1:8" s="35" customFormat="1" x14ac:dyDescent="0.3">
      <c r="A80" s="40" t="s">
        <v>18</v>
      </c>
      <c r="B80" s="35" t="s">
        <v>24</v>
      </c>
      <c r="C80" s="35" t="s">
        <v>11</v>
      </c>
      <c r="D80" s="80">
        <f>IF($C715="$/mwh",D715*100/1000,IF($C715="$/kwh",D715*100,D715))</f>
        <v>0</v>
      </c>
      <c r="E80" s="80">
        <f>IF($C715="$/mwh",E715*100/1000,IF($C715="$/kwh",E715*100,E715))</f>
        <v>3.175E-2</v>
      </c>
      <c r="F80" s="80">
        <f>IF($C715="$/mwh",F715*100/1000,IF($C715="$/kwh",F715*100,F715))</f>
        <v>3.2543749999999996E-2</v>
      </c>
      <c r="G80" s="80">
        <f>IF($C715="$/mwh",G715*100/1000,IF($C715="$/kwh",G715*100,G715))</f>
        <v>3.3357343749999997E-2</v>
      </c>
      <c r="H80" s="80">
        <f>IF($C715="$/mwh",H715*100/1000,IF($C715="$/kwh",H715*100,H715))</f>
        <v>3.4191277343749993E-2</v>
      </c>
    </row>
    <row r="81" spans="1:8" s="35" customFormat="1" x14ac:dyDescent="0.3">
      <c r="A81" s="40" t="s">
        <v>19</v>
      </c>
      <c r="B81" s="35" t="s">
        <v>24</v>
      </c>
      <c r="C81" s="35" t="s">
        <v>11</v>
      </c>
      <c r="D81" s="80">
        <f t="shared" ref="D81:H81" si="7">IF($C716="$/mwh",D716*100/1000,IF($C716="$/kwh",D716*100,D716))</f>
        <v>0</v>
      </c>
      <c r="E81" s="80">
        <f t="shared" si="7"/>
        <v>3.175E-2</v>
      </c>
      <c r="F81" s="80">
        <f t="shared" si="7"/>
        <v>3.2543749999999996E-2</v>
      </c>
      <c r="G81" s="80">
        <f t="shared" si="7"/>
        <v>3.3357343749999997E-2</v>
      </c>
      <c r="H81" s="80">
        <f t="shared" si="7"/>
        <v>3.4191277343749993E-2</v>
      </c>
    </row>
    <row r="82" spans="1:8" s="35" customFormat="1" x14ac:dyDescent="0.3">
      <c r="A82" s="40" t="s">
        <v>20</v>
      </c>
      <c r="B82" s="35" t="s">
        <v>24</v>
      </c>
      <c r="C82" s="35" t="s">
        <v>11</v>
      </c>
      <c r="D82" s="80">
        <f t="shared" ref="D82:H83" si="8">IF($C717="$/mwh",D717*100/1000,IF($C717="$/kwh",D717*100,D717))</f>
        <v>0</v>
      </c>
      <c r="E82" s="80">
        <f t="shared" si="8"/>
        <v>0</v>
      </c>
      <c r="F82" s="80">
        <f t="shared" si="8"/>
        <v>0</v>
      </c>
      <c r="G82" s="80">
        <f t="shared" si="8"/>
        <v>0</v>
      </c>
      <c r="H82" s="80">
        <f t="shared" si="8"/>
        <v>0</v>
      </c>
    </row>
    <row r="83" spans="1:8" s="35" customFormat="1" x14ac:dyDescent="0.3">
      <c r="A83" s="40" t="s">
        <v>81</v>
      </c>
      <c r="B83" s="35" t="s">
        <v>24</v>
      </c>
      <c r="C83" s="35" t="s">
        <v>11</v>
      </c>
      <c r="D83" s="80">
        <f t="shared" si="8"/>
        <v>0</v>
      </c>
      <c r="E83" s="80">
        <f t="shared" si="8"/>
        <v>0</v>
      </c>
      <c r="F83" s="80">
        <f t="shared" si="8"/>
        <v>0</v>
      </c>
      <c r="G83" s="80">
        <f t="shared" si="8"/>
        <v>0</v>
      </c>
      <c r="H83" s="80">
        <f t="shared" si="8"/>
        <v>0</v>
      </c>
    </row>
    <row r="84" spans="1:8" s="35" customFormat="1" x14ac:dyDescent="0.3">
      <c r="A84" s="38" t="str">
        <f>Dist2</f>
        <v>Powercor</v>
      </c>
      <c r="D84" s="39"/>
      <c r="E84" s="39"/>
      <c r="F84" s="39"/>
      <c r="G84" s="39"/>
      <c r="H84" s="39"/>
    </row>
    <row r="85" spans="1:8" s="35" customFormat="1" x14ac:dyDescent="0.3">
      <c r="A85" s="40" t="str">
        <f>A79</f>
        <v>Standing</v>
      </c>
      <c r="B85" s="35" t="s">
        <v>24</v>
      </c>
      <c r="C85" s="35" t="s">
        <v>28</v>
      </c>
      <c r="D85" s="80">
        <f>IF($C720="$/pa",D720*100,D720)</f>
        <v>0</v>
      </c>
      <c r="E85" s="106">
        <f t="shared" ref="E85:H85" si="9">IF($C720="$/pa",E720*100,E720)</f>
        <v>280.79999999999995</v>
      </c>
      <c r="F85" s="106">
        <f t="shared" si="9"/>
        <v>287.81999999999994</v>
      </c>
      <c r="G85" s="106">
        <f t="shared" si="9"/>
        <v>295.01549999999992</v>
      </c>
      <c r="H85" s="106">
        <f t="shared" si="9"/>
        <v>302.39088749999985</v>
      </c>
    </row>
    <row r="86" spans="1:8" s="35" customFormat="1" x14ac:dyDescent="0.3">
      <c r="A86" s="40" t="str">
        <f>A80</f>
        <v>Block 1</v>
      </c>
      <c r="B86" s="35" t="s">
        <v>24</v>
      </c>
      <c r="C86" s="35" t="s">
        <v>11</v>
      </c>
      <c r="D86" s="80">
        <f t="shared" ref="D86:H86" si="10">IF($C721="$/mwh",D721*100/1000,IF($C721="$/kwh",D721*100,D721))</f>
        <v>0</v>
      </c>
      <c r="E86" s="80">
        <f t="shared" si="10"/>
        <v>0.25819999999999999</v>
      </c>
      <c r="F86" s="80">
        <f t="shared" si="10"/>
        <v>0.26465499999999992</v>
      </c>
      <c r="G86" s="80">
        <f t="shared" si="10"/>
        <v>0.27127137499999993</v>
      </c>
      <c r="H86" s="80">
        <f t="shared" si="10"/>
        <v>0.27805315937499986</v>
      </c>
    </row>
    <row r="87" spans="1:8" s="35" customFormat="1" x14ac:dyDescent="0.3">
      <c r="A87" s="40" t="str">
        <f>A81</f>
        <v>Block 2</v>
      </c>
      <c r="B87" s="35" t="s">
        <v>24</v>
      </c>
      <c r="C87" s="35" t="s">
        <v>11</v>
      </c>
      <c r="D87" s="80">
        <f t="shared" ref="D87:H87" si="11">IF($C722="$/mwh",D722*100/1000,IF($C722="$/kwh",D722*100,D722))</f>
        <v>0</v>
      </c>
      <c r="E87" s="80">
        <f t="shared" si="11"/>
        <v>0.25819999999999999</v>
      </c>
      <c r="F87" s="80">
        <f t="shared" si="11"/>
        <v>0.26465499999999992</v>
      </c>
      <c r="G87" s="80">
        <f t="shared" si="11"/>
        <v>0.27127137499999993</v>
      </c>
      <c r="H87" s="80">
        <f t="shared" si="11"/>
        <v>0.27805315937499986</v>
      </c>
    </row>
    <row r="88" spans="1:8" s="35" customFormat="1" x14ac:dyDescent="0.3">
      <c r="A88" s="40" t="str">
        <f>A82</f>
        <v>Block 3</v>
      </c>
      <c r="B88" s="35" t="s">
        <v>24</v>
      </c>
      <c r="C88" s="35" t="s">
        <v>11</v>
      </c>
      <c r="D88" s="80">
        <f t="shared" ref="D88:H89" si="12">IF($C723="$/mwh",D723*100/1000,IF($C723="$/kwh",D723*100,D723))</f>
        <v>0</v>
      </c>
      <c r="E88" s="80">
        <f t="shared" si="12"/>
        <v>0.25819999999999999</v>
      </c>
      <c r="F88" s="80">
        <f t="shared" si="12"/>
        <v>0.26465499999999992</v>
      </c>
      <c r="G88" s="80">
        <f t="shared" si="12"/>
        <v>0.27127137499999993</v>
      </c>
      <c r="H88" s="80">
        <f t="shared" si="12"/>
        <v>0.27805315937499986</v>
      </c>
    </row>
    <row r="89" spans="1:8" s="35" customFormat="1" x14ac:dyDescent="0.3">
      <c r="A89" s="40" t="str">
        <f>A83</f>
        <v>Block 4</v>
      </c>
      <c r="B89" s="35" t="s">
        <v>24</v>
      </c>
      <c r="C89" s="35" t="s">
        <v>11</v>
      </c>
      <c r="D89" s="80">
        <f t="shared" si="12"/>
        <v>0</v>
      </c>
      <c r="E89" s="80">
        <f t="shared" si="12"/>
        <v>0.25819999999999999</v>
      </c>
      <c r="F89" s="80">
        <f t="shared" si="12"/>
        <v>0.26465499999999992</v>
      </c>
      <c r="G89" s="80">
        <f t="shared" si="12"/>
        <v>0.27127137499999993</v>
      </c>
      <c r="H89" s="80">
        <f t="shared" si="12"/>
        <v>0.27805315937499986</v>
      </c>
    </row>
    <row r="90" spans="1:8" s="35" customFormat="1" x14ac:dyDescent="0.3">
      <c r="A90" s="38" t="str">
        <f>Dist3</f>
        <v>SP Ausnet</v>
      </c>
      <c r="D90" s="39"/>
      <c r="E90" s="39"/>
      <c r="F90" s="39"/>
      <c r="G90" s="39"/>
      <c r="H90" s="39"/>
    </row>
    <row r="91" spans="1:8" s="35" customFormat="1" x14ac:dyDescent="0.3">
      <c r="A91" s="40" t="str">
        <f>A85</f>
        <v>Standing</v>
      </c>
      <c r="B91" s="35" t="s">
        <v>24</v>
      </c>
      <c r="C91" s="35" t="s">
        <v>28</v>
      </c>
      <c r="D91" s="80">
        <f>IF($C726="$/pa",D726*100,D726)</f>
        <v>0</v>
      </c>
      <c r="E91" s="106">
        <f t="shared" ref="E91:H91" si="13">IF($C726="$/pa",E726*100,E726)</f>
        <v>250</v>
      </c>
      <c r="F91" s="106">
        <f t="shared" si="13"/>
        <v>256.25</v>
      </c>
      <c r="G91" s="106">
        <f t="shared" si="13"/>
        <v>262.65625</v>
      </c>
      <c r="H91" s="106">
        <f t="shared" si="13"/>
        <v>269.22265624999994</v>
      </c>
    </row>
    <row r="92" spans="1:8" s="35" customFormat="1" x14ac:dyDescent="0.3">
      <c r="A92" s="40" t="str">
        <f>A86</f>
        <v>Block 1</v>
      </c>
      <c r="B92" s="35" t="s">
        <v>24</v>
      </c>
      <c r="C92" s="35" t="s">
        <v>11</v>
      </c>
      <c r="D92" s="80">
        <f t="shared" ref="D92:H92" si="14">IF($C727="$/mwh",D727*100/1000,IF($C727="$/kwh",D727*100,D727))</f>
        <v>0</v>
      </c>
      <c r="E92" s="80">
        <f t="shared" si="14"/>
        <v>0.161</v>
      </c>
      <c r="F92" s="80">
        <f t="shared" si="14"/>
        <v>0.16502500000000001</v>
      </c>
      <c r="G92" s="80">
        <f t="shared" si="14"/>
        <v>0.16915062499999997</v>
      </c>
      <c r="H92" s="80">
        <f t="shared" si="14"/>
        <v>0.17337939062499996</v>
      </c>
    </row>
    <row r="93" spans="1:8" s="35" customFormat="1" x14ac:dyDescent="0.3">
      <c r="A93" s="40" t="str">
        <f>A87</f>
        <v>Block 2</v>
      </c>
      <c r="B93" s="35" t="s">
        <v>24</v>
      </c>
      <c r="C93" s="35" t="s">
        <v>11</v>
      </c>
      <c r="D93" s="80">
        <f t="shared" ref="D93:H93" si="15">IF($C728="$/mwh",D728*100/1000,IF($C728="$/kwh",D728*100,D728))</f>
        <v>0</v>
      </c>
      <c r="E93" s="80">
        <f t="shared" si="15"/>
        <v>0.161</v>
      </c>
      <c r="F93" s="80">
        <f t="shared" si="15"/>
        <v>0.16502500000000001</v>
      </c>
      <c r="G93" s="80">
        <f t="shared" si="15"/>
        <v>0.16915062499999997</v>
      </c>
      <c r="H93" s="80">
        <f t="shared" si="15"/>
        <v>0.17337939062499996</v>
      </c>
    </row>
    <row r="94" spans="1:8" s="35" customFormat="1" x14ac:dyDescent="0.3">
      <c r="A94" s="40" t="str">
        <f>A88</f>
        <v>Block 3</v>
      </c>
      <c r="B94" s="35" t="s">
        <v>24</v>
      </c>
      <c r="C94" s="35" t="s">
        <v>11</v>
      </c>
      <c r="D94" s="80">
        <f t="shared" ref="D94:H95" si="16">IF($C729="$/mwh",D729*100/1000,IF($C729="$/kwh",D729*100,D729))</f>
        <v>0</v>
      </c>
      <c r="E94" s="80">
        <f t="shared" si="16"/>
        <v>0</v>
      </c>
      <c r="F94" s="80">
        <f t="shared" si="16"/>
        <v>0</v>
      </c>
      <c r="G94" s="80">
        <f t="shared" si="16"/>
        <v>0</v>
      </c>
      <c r="H94" s="80">
        <f t="shared" si="16"/>
        <v>0</v>
      </c>
    </row>
    <row r="95" spans="1:8" s="35" customFormat="1" x14ac:dyDescent="0.3">
      <c r="A95" s="40" t="str">
        <f>A89</f>
        <v>Block 4</v>
      </c>
      <c r="B95" s="35" t="s">
        <v>24</v>
      </c>
      <c r="C95" s="35" t="s">
        <v>11</v>
      </c>
      <c r="D95" s="80">
        <f t="shared" si="16"/>
        <v>0</v>
      </c>
      <c r="E95" s="80">
        <f t="shared" si="16"/>
        <v>0</v>
      </c>
      <c r="F95" s="80">
        <f t="shared" si="16"/>
        <v>0</v>
      </c>
      <c r="G95" s="80">
        <f t="shared" si="16"/>
        <v>0</v>
      </c>
      <c r="H95" s="80">
        <f t="shared" si="16"/>
        <v>0</v>
      </c>
    </row>
    <row r="96" spans="1:8" s="35" customFormat="1" x14ac:dyDescent="0.3">
      <c r="A96" s="38" t="str">
        <f>Dist4</f>
        <v>United</v>
      </c>
      <c r="D96" s="39"/>
      <c r="E96" s="39"/>
      <c r="F96" s="39"/>
      <c r="G96" s="39"/>
      <c r="H96" s="39"/>
    </row>
    <row r="97" spans="1:8" s="35" customFormat="1" x14ac:dyDescent="0.3">
      <c r="A97" s="40" t="str">
        <f>A91</f>
        <v>Standing</v>
      </c>
      <c r="B97" s="35" t="s">
        <v>24</v>
      </c>
      <c r="C97" s="35" t="s">
        <v>28</v>
      </c>
      <c r="D97" s="80">
        <f>IF($C732="$/pa",D732*100,D732)</f>
        <v>0</v>
      </c>
      <c r="E97" s="106">
        <f t="shared" ref="E97:H97" si="17">IF($C732="$/pa",E732*100,E732)</f>
        <v>721.78750000000002</v>
      </c>
      <c r="F97" s="106">
        <f t="shared" si="17"/>
        <v>739.83218749999992</v>
      </c>
      <c r="G97" s="106">
        <f t="shared" si="17"/>
        <v>758.32799218749983</v>
      </c>
      <c r="H97" s="106">
        <f t="shared" si="17"/>
        <v>777.28619199218724</v>
      </c>
    </row>
    <row r="98" spans="1:8" s="35" customFormat="1" x14ac:dyDescent="0.3">
      <c r="A98" s="40" t="str">
        <f>A92</f>
        <v>Block 1</v>
      </c>
      <c r="B98" s="35" t="s">
        <v>24</v>
      </c>
      <c r="C98" s="35" t="s">
        <v>11</v>
      </c>
      <c r="D98" s="80">
        <f t="shared" ref="D98:H98" si="18">IF($C733="$/mwh",D733*100/1000,IF($C733="$/kwh",D733*100,D733))</f>
        <v>0</v>
      </c>
      <c r="E98" s="80">
        <f t="shared" si="18"/>
        <v>0</v>
      </c>
      <c r="F98" s="80">
        <f t="shared" si="18"/>
        <v>0</v>
      </c>
      <c r="G98" s="80">
        <f t="shared" si="18"/>
        <v>0</v>
      </c>
      <c r="H98" s="80">
        <f t="shared" si="18"/>
        <v>0</v>
      </c>
    </row>
    <row r="99" spans="1:8" s="35" customFormat="1" x14ac:dyDescent="0.3">
      <c r="A99" s="40" t="str">
        <f>A93</f>
        <v>Block 2</v>
      </c>
      <c r="B99" s="35" t="s">
        <v>24</v>
      </c>
      <c r="C99" s="35" t="s">
        <v>11</v>
      </c>
      <c r="D99" s="80">
        <f t="shared" ref="D99:H99" si="19">IF($C734="$/mwh",D734*100/1000,IF($C734="$/kwh",D734*100,D734))</f>
        <v>0</v>
      </c>
      <c r="E99" s="80">
        <f t="shared" si="19"/>
        <v>0</v>
      </c>
      <c r="F99" s="80">
        <f t="shared" si="19"/>
        <v>0</v>
      </c>
      <c r="G99" s="80">
        <f t="shared" si="19"/>
        <v>0</v>
      </c>
      <c r="H99" s="80">
        <f t="shared" si="19"/>
        <v>0</v>
      </c>
    </row>
    <row r="100" spans="1:8" s="35" customFormat="1" x14ac:dyDescent="0.3">
      <c r="A100" s="40" t="str">
        <f>A94</f>
        <v>Block 3</v>
      </c>
      <c r="B100" s="35" t="s">
        <v>24</v>
      </c>
      <c r="C100" s="35" t="s">
        <v>11</v>
      </c>
      <c r="D100" s="80">
        <f t="shared" ref="D100:H101" si="20">IF($C735="$/mwh",D735*100/1000,IF($C735="$/kwh",D735*100,D735))</f>
        <v>0</v>
      </c>
      <c r="E100" s="80">
        <f t="shared" si="20"/>
        <v>0</v>
      </c>
      <c r="F100" s="80">
        <f t="shared" si="20"/>
        <v>0</v>
      </c>
      <c r="G100" s="80">
        <f t="shared" si="20"/>
        <v>0</v>
      </c>
      <c r="H100" s="80">
        <f t="shared" si="20"/>
        <v>0</v>
      </c>
    </row>
    <row r="101" spans="1:8" s="35" customFormat="1" x14ac:dyDescent="0.3">
      <c r="A101" s="40" t="str">
        <f>A95</f>
        <v>Block 4</v>
      </c>
      <c r="B101" s="35" t="s">
        <v>24</v>
      </c>
      <c r="C101" s="35" t="s">
        <v>11</v>
      </c>
      <c r="D101" s="80">
        <f t="shared" si="20"/>
        <v>0</v>
      </c>
      <c r="E101" s="80">
        <f t="shared" si="20"/>
        <v>0</v>
      </c>
      <c r="F101" s="80">
        <f t="shared" si="20"/>
        <v>0</v>
      </c>
      <c r="G101" s="80">
        <f t="shared" si="20"/>
        <v>0</v>
      </c>
      <c r="H101" s="80">
        <f t="shared" si="20"/>
        <v>0</v>
      </c>
    </row>
    <row r="102" spans="1:8" s="35" customFormat="1" x14ac:dyDescent="0.3">
      <c r="A102" s="38" t="str">
        <f>Dist5</f>
        <v>Jemena</v>
      </c>
      <c r="D102" s="39"/>
      <c r="E102" s="39"/>
      <c r="F102" s="39"/>
      <c r="G102" s="39"/>
      <c r="H102" s="39"/>
    </row>
    <row r="103" spans="1:8" s="35" customFormat="1" x14ac:dyDescent="0.3">
      <c r="A103" s="40" t="str">
        <f>A97</f>
        <v>Standing</v>
      </c>
      <c r="B103" s="35" t="s">
        <v>24</v>
      </c>
      <c r="C103" s="35" t="s">
        <v>28</v>
      </c>
      <c r="D103" s="80">
        <f>IF($C738="$/pa",D738*100,D738)</f>
        <v>0</v>
      </c>
      <c r="E103" s="106">
        <f t="shared" ref="E103:H103" si="21">IF($C738="$/pa",E738*100,E738)</f>
        <v>0</v>
      </c>
      <c r="F103" s="106">
        <f t="shared" si="21"/>
        <v>0</v>
      </c>
      <c r="G103" s="106">
        <f t="shared" si="21"/>
        <v>0</v>
      </c>
      <c r="H103" s="106">
        <f t="shared" si="21"/>
        <v>0</v>
      </c>
    </row>
    <row r="104" spans="1:8" s="35" customFormat="1" x14ac:dyDescent="0.3">
      <c r="A104" s="40" t="str">
        <f>A98</f>
        <v>Block 1</v>
      </c>
      <c r="B104" s="35" t="s">
        <v>24</v>
      </c>
      <c r="C104" s="35" t="s">
        <v>11</v>
      </c>
      <c r="D104" s="80">
        <f>IF($C739="$/mwh",D739*100/1000,IF($C739="$/kwh",D739*100,D739))</f>
        <v>0</v>
      </c>
      <c r="E104" s="80">
        <f t="shared" ref="E104:H104" si="22">IF($C739="$/mwh",E739*100/1000,IF($C739="$/kwh",E739*100,E739))</f>
        <v>4.9000000000000002E-2</v>
      </c>
      <c r="F104" s="80">
        <f t="shared" si="22"/>
        <v>5.0224999999999999E-2</v>
      </c>
      <c r="G104" s="80">
        <f t="shared" si="22"/>
        <v>5.1480624999999988E-2</v>
      </c>
      <c r="H104" s="80">
        <f t="shared" si="22"/>
        <v>5.276764062499998E-2</v>
      </c>
    </row>
    <row r="105" spans="1:8" s="35" customFormat="1" x14ac:dyDescent="0.3">
      <c r="A105" s="40" t="str">
        <f>A99</f>
        <v>Block 2</v>
      </c>
      <c r="B105" s="35" t="s">
        <v>24</v>
      </c>
      <c r="C105" s="35" t="s">
        <v>11</v>
      </c>
      <c r="D105" s="80">
        <f t="shared" ref="D105:H105" si="23">IF($C740="$/mwh",D740*100/1000,IF($C740="$/kwh",D740*100,D740))</f>
        <v>0</v>
      </c>
      <c r="E105" s="80">
        <f t="shared" si="23"/>
        <v>0</v>
      </c>
      <c r="F105" s="80">
        <f t="shared" si="23"/>
        <v>0</v>
      </c>
      <c r="G105" s="80">
        <f t="shared" si="23"/>
        <v>0</v>
      </c>
      <c r="H105" s="80">
        <f t="shared" si="23"/>
        <v>0</v>
      </c>
    </row>
    <row r="106" spans="1:8" s="35" customFormat="1" x14ac:dyDescent="0.3">
      <c r="A106" s="40" t="str">
        <f>A100</f>
        <v>Block 3</v>
      </c>
      <c r="B106" s="35" t="s">
        <v>24</v>
      </c>
      <c r="C106" s="35" t="s">
        <v>11</v>
      </c>
      <c r="D106" s="80">
        <f t="shared" ref="D106:H107" si="24">IF($C741="$/mwh",D741*100/1000,IF($C741="$/kwh",D741*100,D741))</f>
        <v>0</v>
      </c>
      <c r="E106" s="80">
        <f t="shared" si="24"/>
        <v>0</v>
      </c>
      <c r="F106" s="80">
        <f t="shared" si="24"/>
        <v>0</v>
      </c>
      <c r="G106" s="80">
        <f t="shared" si="24"/>
        <v>0</v>
      </c>
      <c r="H106" s="80">
        <f t="shared" si="24"/>
        <v>0</v>
      </c>
    </row>
    <row r="107" spans="1:8" s="35" customFormat="1" x14ac:dyDescent="0.3">
      <c r="A107" s="40" t="str">
        <f>A101</f>
        <v>Block 4</v>
      </c>
      <c r="B107" s="35" t="s">
        <v>24</v>
      </c>
      <c r="C107" s="35" t="s">
        <v>11</v>
      </c>
      <c r="D107" s="80">
        <f t="shared" si="24"/>
        <v>0</v>
      </c>
      <c r="E107" s="80">
        <f t="shared" si="24"/>
        <v>0</v>
      </c>
      <c r="F107" s="80">
        <f t="shared" si="24"/>
        <v>0</v>
      </c>
      <c r="G107" s="80">
        <f t="shared" si="24"/>
        <v>0</v>
      </c>
      <c r="H107" s="80">
        <f t="shared" si="24"/>
        <v>0</v>
      </c>
    </row>
    <row r="108" spans="1:8" s="35" customFormat="1" x14ac:dyDescent="0.3">
      <c r="A108" s="40"/>
      <c r="D108" s="39"/>
      <c r="E108" s="39"/>
      <c r="F108" s="39"/>
      <c r="G108" s="39"/>
      <c r="H108" s="39"/>
    </row>
    <row r="109" spans="1:8" s="35" customFormat="1" x14ac:dyDescent="0.3">
      <c r="A109" s="21" t="s">
        <v>21</v>
      </c>
      <c r="D109" s="39"/>
      <c r="E109" s="39"/>
      <c r="F109" s="39"/>
      <c r="G109" s="39"/>
      <c r="H109" s="39"/>
    </row>
    <row r="110" spans="1:8" s="35" customFormat="1" x14ac:dyDescent="0.3">
      <c r="A110" s="38" t="str">
        <f>Dist1&amp;" region"</f>
        <v>Citipower region</v>
      </c>
      <c r="D110" s="39"/>
      <c r="E110" s="39"/>
      <c r="F110" s="39"/>
      <c r="G110" s="39"/>
      <c r="H110" s="39"/>
    </row>
    <row r="111" spans="1:8" s="35" customFormat="1" x14ac:dyDescent="0.3">
      <c r="A111" s="35" t="s">
        <v>18</v>
      </c>
      <c r="B111" s="35" t="s">
        <v>24</v>
      </c>
      <c r="C111" s="35" t="s">
        <v>22</v>
      </c>
      <c r="D111" s="83">
        <f t="shared" ref="D111:H114" si="25">IF(D$750=0,0,D746/D$750)</f>
        <v>0</v>
      </c>
      <c r="E111" s="83">
        <f t="shared" si="25"/>
        <v>0.65821247134370198</v>
      </c>
      <c r="F111" s="83">
        <f t="shared" si="25"/>
        <v>0.65821247134370198</v>
      </c>
      <c r="G111" s="83">
        <f t="shared" si="25"/>
        <v>0.65821247134370198</v>
      </c>
      <c r="H111" s="83">
        <f t="shared" si="25"/>
        <v>0.65821247134370198</v>
      </c>
    </row>
    <row r="112" spans="1:8" s="35" customFormat="1" x14ac:dyDescent="0.3">
      <c r="A112" s="35" t="s">
        <v>19</v>
      </c>
      <c r="B112" s="35" t="s">
        <v>24</v>
      </c>
      <c r="C112" s="35" t="s">
        <v>22</v>
      </c>
      <c r="D112" s="83">
        <f t="shared" si="25"/>
        <v>0</v>
      </c>
      <c r="E112" s="83">
        <f t="shared" si="25"/>
        <v>0.34178752865629797</v>
      </c>
      <c r="F112" s="83">
        <f t="shared" si="25"/>
        <v>0.34178752865629797</v>
      </c>
      <c r="G112" s="83">
        <f t="shared" si="25"/>
        <v>0.34178752865629797</v>
      </c>
      <c r="H112" s="83">
        <f t="shared" si="25"/>
        <v>0.34178752865629797</v>
      </c>
    </row>
    <row r="113" spans="1:8" s="35" customFormat="1" x14ac:dyDescent="0.3">
      <c r="A113" s="35" t="s">
        <v>20</v>
      </c>
      <c r="B113" s="35" t="s">
        <v>24</v>
      </c>
      <c r="C113" s="35" t="s">
        <v>22</v>
      </c>
      <c r="D113" s="83">
        <f t="shared" si="25"/>
        <v>0</v>
      </c>
      <c r="E113" s="83">
        <f t="shared" si="25"/>
        <v>0</v>
      </c>
      <c r="F113" s="83">
        <f t="shared" si="25"/>
        <v>0</v>
      </c>
      <c r="G113" s="83">
        <f t="shared" si="25"/>
        <v>0</v>
      </c>
      <c r="H113" s="83">
        <f t="shared" si="25"/>
        <v>0</v>
      </c>
    </row>
    <row r="114" spans="1:8" s="35" customFormat="1" x14ac:dyDescent="0.3">
      <c r="A114" s="35" t="s">
        <v>81</v>
      </c>
      <c r="B114" s="35" t="s">
        <v>24</v>
      </c>
      <c r="C114" s="35" t="s">
        <v>22</v>
      </c>
      <c r="D114" s="83">
        <f t="shared" si="25"/>
        <v>0</v>
      </c>
      <c r="E114" s="83">
        <f t="shared" si="25"/>
        <v>0</v>
      </c>
      <c r="F114" s="83">
        <f t="shared" si="25"/>
        <v>0</v>
      </c>
      <c r="G114" s="83">
        <f t="shared" si="25"/>
        <v>0</v>
      </c>
      <c r="H114" s="83">
        <f t="shared" si="25"/>
        <v>0</v>
      </c>
    </row>
    <row r="115" spans="1:8" s="35" customFormat="1" x14ac:dyDescent="0.3">
      <c r="A115" s="38" t="str">
        <f>Dist2&amp;" region"</f>
        <v>Powercor region</v>
      </c>
      <c r="D115" s="39"/>
      <c r="E115" s="39"/>
      <c r="F115" s="39"/>
      <c r="G115" s="39"/>
      <c r="H115" s="39"/>
    </row>
    <row r="116" spans="1:8" s="35" customFormat="1" x14ac:dyDescent="0.3">
      <c r="A116" s="35" t="str">
        <f>A111</f>
        <v>Block 1</v>
      </c>
      <c r="B116" s="35" t="s">
        <v>24</v>
      </c>
      <c r="C116" s="35" t="s">
        <v>22</v>
      </c>
      <c r="D116" s="83">
        <f t="shared" ref="D116:H119" si="26">IF(D$757=0,0,D753/D$757)</f>
        <v>0</v>
      </c>
      <c r="E116" s="83">
        <f t="shared" si="26"/>
        <v>0.6644389042408213</v>
      </c>
      <c r="F116" s="83">
        <f t="shared" si="26"/>
        <v>0.6644389042408213</v>
      </c>
      <c r="G116" s="83">
        <f t="shared" si="26"/>
        <v>0.6644389042408213</v>
      </c>
      <c r="H116" s="83">
        <f t="shared" si="26"/>
        <v>0.6644389042408213</v>
      </c>
    </row>
    <row r="117" spans="1:8" s="35" customFormat="1" x14ac:dyDescent="0.3">
      <c r="A117" s="35" t="str">
        <f>A112</f>
        <v>Block 2</v>
      </c>
      <c r="B117" s="35" t="s">
        <v>24</v>
      </c>
      <c r="C117" s="35" t="s">
        <v>22</v>
      </c>
      <c r="D117" s="83">
        <f t="shared" si="26"/>
        <v>0</v>
      </c>
      <c r="E117" s="83">
        <f t="shared" si="26"/>
        <v>0.32466473508563409</v>
      </c>
      <c r="F117" s="83">
        <f t="shared" si="26"/>
        <v>0.32466473508563409</v>
      </c>
      <c r="G117" s="83">
        <f t="shared" si="26"/>
        <v>0.32466473508563409</v>
      </c>
      <c r="H117" s="83">
        <f t="shared" si="26"/>
        <v>0.32466473508563409</v>
      </c>
    </row>
    <row r="118" spans="1:8" s="35" customFormat="1" x14ac:dyDescent="0.3">
      <c r="A118" s="35" t="str">
        <f>A113</f>
        <v>Block 3</v>
      </c>
      <c r="B118" s="35" t="s">
        <v>24</v>
      </c>
      <c r="C118" s="35" t="s">
        <v>22</v>
      </c>
      <c r="D118" s="83">
        <f t="shared" si="26"/>
        <v>0</v>
      </c>
      <c r="E118" s="83">
        <f t="shared" si="26"/>
        <v>9.0799374452152221E-3</v>
      </c>
      <c r="F118" s="83">
        <f t="shared" si="26"/>
        <v>9.0799374452152221E-3</v>
      </c>
      <c r="G118" s="83">
        <f t="shared" si="26"/>
        <v>9.0799374452152221E-3</v>
      </c>
      <c r="H118" s="83">
        <f t="shared" si="26"/>
        <v>9.0799374452152221E-3</v>
      </c>
    </row>
    <row r="119" spans="1:8" s="35" customFormat="1" x14ac:dyDescent="0.3">
      <c r="A119" s="35" t="str">
        <f>A114</f>
        <v>Block 4</v>
      </c>
      <c r="B119" s="35" t="s">
        <v>24</v>
      </c>
      <c r="C119" s="35" t="s">
        <v>22</v>
      </c>
      <c r="D119" s="83">
        <f t="shared" si="26"/>
        <v>0</v>
      </c>
      <c r="E119" s="83">
        <f t="shared" si="26"/>
        <v>1.8164232283293667E-3</v>
      </c>
      <c r="F119" s="83">
        <f t="shared" si="26"/>
        <v>1.8164232283293667E-3</v>
      </c>
      <c r="G119" s="83">
        <f t="shared" si="26"/>
        <v>1.8164232283293667E-3</v>
      </c>
      <c r="H119" s="83">
        <f t="shared" si="26"/>
        <v>1.8164232283293667E-3</v>
      </c>
    </row>
    <row r="120" spans="1:8" s="35" customFormat="1" x14ac:dyDescent="0.3">
      <c r="A120" s="38" t="str">
        <f>Dist3&amp;" region"</f>
        <v>SP Ausnet region</v>
      </c>
      <c r="D120" s="39"/>
      <c r="E120" s="39"/>
      <c r="F120" s="39"/>
      <c r="G120" s="39"/>
      <c r="H120" s="39"/>
    </row>
    <row r="121" spans="1:8" s="35" customFormat="1" x14ac:dyDescent="0.3">
      <c r="A121" s="35" t="str">
        <f>A116</f>
        <v>Block 1</v>
      </c>
      <c r="B121" s="35" t="s">
        <v>24</v>
      </c>
      <c r="C121" s="35" t="s">
        <v>22</v>
      </c>
      <c r="D121" s="83">
        <f t="shared" ref="D121:H124" si="27">IF(D$764=0,0,D760/D$764)</f>
        <v>0</v>
      </c>
      <c r="E121" s="83">
        <f t="shared" si="27"/>
        <v>0.64210892567058331</v>
      </c>
      <c r="F121" s="83">
        <f t="shared" si="27"/>
        <v>0.64210892567058331</v>
      </c>
      <c r="G121" s="83">
        <f t="shared" si="27"/>
        <v>0.64210892567058331</v>
      </c>
      <c r="H121" s="83">
        <f t="shared" si="27"/>
        <v>0.64210892567058331</v>
      </c>
    </row>
    <row r="122" spans="1:8" s="35" customFormat="1" x14ac:dyDescent="0.3">
      <c r="A122" s="35" t="str">
        <f>A117</f>
        <v>Block 2</v>
      </c>
      <c r="B122" s="35" t="s">
        <v>24</v>
      </c>
      <c r="C122" s="35" t="s">
        <v>22</v>
      </c>
      <c r="D122" s="83">
        <f t="shared" si="27"/>
        <v>0</v>
      </c>
      <c r="E122" s="83">
        <f t="shared" si="27"/>
        <v>0.35789107432941664</v>
      </c>
      <c r="F122" s="83">
        <f t="shared" si="27"/>
        <v>0.35789107432941664</v>
      </c>
      <c r="G122" s="83">
        <f t="shared" si="27"/>
        <v>0.35789107432941664</v>
      </c>
      <c r="H122" s="83">
        <f t="shared" si="27"/>
        <v>0.35789107432941664</v>
      </c>
    </row>
    <row r="123" spans="1:8" s="35" customFormat="1" x14ac:dyDescent="0.3">
      <c r="A123" s="35" t="str">
        <f>A118</f>
        <v>Block 3</v>
      </c>
      <c r="B123" s="35" t="s">
        <v>24</v>
      </c>
      <c r="C123" s="35" t="s">
        <v>22</v>
      </c>
      <c r="D123" s="83">
        <f t="shared" si="27"/>
        <v>0</v>
      </c>
      <c r="E123" s="83">
        <f t="shared" si="27"/>
        <v>0</v>
      </c>
      <c r="F123" s="83">
        <f t="shared" si="27"/>
        <v>0</v>
      </c>
      <c r="G123" s="83">
        <f t="shared" si="27"/>
        <v>0</v>
      </c>
      <c r="H123" s="83">
        <f t="shared" si="27"/>
        <v>0</v>
      </c>
    </row>
    <row r="124" spans="1:8" s="35" customFormat="1" x14ac:dyDescent="0.3">
      <c r="A124" s="35" t="str">
        <f>A119</f>
        <v>Block 4</v>
      </c>
      <c r="B124" s="35" t="s">
        <v>24</v>
      </c>
      <c r="C124" s="35" t="s">
        <v>22</v>
      </c>
      <c r="D124" s="83">
        <f t="shared" si="27"/>
        <v>0</v>
      </c>
      <c r="E124" s="83">
        <f t="shared" si="27"/>
        <v>0</v>
      </c>
      <c r="F124" s="83">
        <f t="shared" si="27"/>
        <v>0</v>
      </c>
      <c r="G124" s="83">
        <f t="shared" si="27"/>
        <v>0</v>
      </c>
      <c r="H124" s="83">
        <f t="shared" si="27"/>
        <v>0</v>
      </c>
    </row>
    <row r="125" spans="1:8" s="35" customFormat="1" x14ac:dyDescent="0.3">
      <c r="A125" s="38" t="str">
        <f>Dist4&amp;" region"</f>
        <v>United region</v>
      </c>
      <c r="D125" s="39"/>
      <c r="E125" s="39"/>
      <c r="F125" s="39"/>
      <c r="G125" s="39"/>
      <c r="H125" s="39"/>
    </row>
    <row r="126" spans="1:8" s="35" customFormat="1" x14ac:dyDescent="0.3">
      <c r="A126" s="35" t="str">
        <f>A121</f>
        <v>Block 1</v>
      </c>
      <c r="B126" s="35" t="s">
        <v>24</v>
      </c>
      <c r="C126" s="35" t="s">
        <v>22</v>
      </c>
      <c r="D126" s="83">
        <f>IF(D$771=0,0,D767/D$771)</f>
        <v>0</v>
      </c>
      <c r="E126" s="83">
        <f t="shared" ref="E126:H126" si="28">IF(E$771=0,0,E767/E$771)</f>
        <v>0.36135110262493458</v>
      </c>
      <c r="F126" s="83">
        <f t="shared" si="28"/>
        <v>0.36135110262493458</v>
      </c>
      <c r="G126" s="83">
        <f t="shared" si="28"/>
        <v>0.36135110262493458</v>
      </c>
      <c r="H126" s="83">
        <f t="shared" si="28"/>
        <v>0.36135110262493458</v>
      </c>
    </row>
    <row r="127" spans="1:8" s="35" customFormat="1" x14ac:dyDescent="0.3">
      <c r="A127" s="35" t="str">
        <f>A122</f>
        <v>Block 2</v>
      </c>
      <c r="B127" s="35" t="s">
        <v>24</v>
      </c>
      <c r="C127" s="35" t="s">
        <v>22</v>
      </c>
      <c r="D127" s="83">
        <f t="shared" ref="D127:H129" si="29">IF(D$771=0,0,D768/D$771)</f>
        <v>0</v>
      </c>
      <c r="E127" s="83">
        <f t="shared" si="29"/>
        <v>0.63864889737506547</v>
      </c>
      <c r="F127" s="83">
        <f t="shared" si="29"/>
        <v>0.63864889737506547</v>
      </c>
      <c r="G127" s="83">
        <f t="shared" si="29"/>
        <v>0.63864889737506547</v>
      </c>
      <c r="H127" s="83">
        <f t="shared" si="29"/>
        <v>0.63864889737506547</v>
      </c>
    </row>
    <row r="128" spans="1:8" s="35" customFormat="1" x14ac:dyDescent="0.3">
      <c r="A128" s="35" t="str">
        <f>A123</f>
        <v>Block 3</v>
      </c>
      <c r="B128" s="35" t="s">
        <v>24</v>
      </c>
      <c r="C128" s="35" t="s">
        <v>22</v>
      </c>
      <c r="D128" s="83">
        <f t="shared" si="29"/>
        <v>0</v>
      </c>
      <c r="E128" s="83">
        <f t="shared" si="29"/>
        <v>0</v>
      </c>
      <c r="F128" s="83">
        <f t="shared" si="29"/>
        <v>0</v>
      </c>
      <c r="G128" s="83">
        <f t="shared" si="29"/>
        <v>0</v>
      </c>
      <c r="H128" s="83">
        <f t="shared" si="29"/>
        <v>0</v>
      </c>
    </row>
    <row r="129" spans="1:8" s="35" customFormat="1" x14ac:dyDescent="0.3">
      <c r="A129" s="35" t="str">
        <f>A124</f>
        <v>Block 4</v>
      </c>
      <c r="B129" s="35" t="s">
        <v>24</v>
      </c>
      <c r="C129" s="35" t="s">
        <v>22</v>
      </c>
      <c r="D129" s="83">
        <f t="shared" si="29"/>
        <v>0</v>
      </c>
      <c r="E129" s="83">
        <f t="shared" si="29"/>
        <v>0</v>
      </c>
      <c r="F129" s="83">
        <f t="shared" si="29"/>
        <v>0</v>
      </c>
      <c r="G129" s="83">
        <f t="shared" si="29"/>
        <v>0</v>
      </c>
      <c r="H129" s="83">
        <f t="shared" si="29"/>
        <v>0</v>
      </c>
    </row>
    <row r="130" spans="1:8" s="35" customFormat="1" x14ac:dyDescent="0.3">
      <c r="A130" s="38" t="str">
        <f>Dist5&amp;" region"</f>
        <v>Jemena region</v>
      </c>
      <c r="D130" s="39"/>
      <c r="E130" s="39"/>
      <c r="F130" s="39"/>
      <c r="G130" s="39"/>
      <c r="H130" s="39"/>
    </row>
    <row r="131" spans="1:8" s="35" customFormat="1" x14ac:dyDescent="0.3">
      <c r="A131" s="35" t="str">
        <f>A126</f>
        <v>Block 1</v>
      </c>
      <c r="B131" s="35" t="s">
        <v>24</v>
      </c>
      <c r="C131" s="35" t="s">
        <v>22</v>
      </c>
      <c r="D131" s="83">
        <f t="shared" ref="D131:H134" si="30">IF(D$778=0,0,D774/D$778)</f>
        <v>0</v>
      </c>
      <c r="E131" s="83">
        <f t="shared" si="30"/>
        <v>1</v>
      </c>
      <c r="F131" s="83">
        <f t="shared" si="30"/>
        <v>1</v>
      </c>
      <c r="G131" s="83">
        <f t="shared" si="30"/>
        <v>1</v>
      </c>
      <c r="H131" s="83">
        <f t="shared" si="30"/>
        <v>1</v>
      </c>
    </row>
    <row r="132" spans="1:8" s="35" customFormat="1" x14ac:dyDescent="0.3">
      <c r="A132" s="35" t="str">
        <f>A127</f>
        <v>Block 2</v>
      </c>
      <c r="B132" s="35" t="s">
        <v>24</v>
      </c>
      <c r="C132" s="35" t="s">
        <v>22</v>
      </c>
      <c r="D132" s="83">
        <f t="shared" si="30"/>
        <v>0</v>
      </c>
      <c r="E132" s="83">
        <f t="shared" si="30"/>
        <v>0</v>
      </c>
      <c r="F132" s="83">
        <f t="shared" si="30"/>
        <v>0</v>
      </c>
      <c r="G132" s="83">
        <f t="shared" si="30"/>
        <v>0</v>
      </c>
      <c r="H132" s="83">
        <f t="shared" si="30"/>
        <v>0</v>
      </c>
    </row>
    <row r="133" spans="1:8" s="35" customFormat="1" x14ac:dyDescent="0.3">
      <c r="A133" s="35" t="str">
        <f>A128</f>
        <v>Block 3</v>
      </c>
      <c r="B133" s="35" t="s">
        <v>24</v>
      </c>
      <c r="C133" s="35" t="s">
        <v>22</v>
      </c>
      <c r="D133" s="83">
        <f t="shared" si="30"/>
        <v>0</v>
      </c>
      <c r="E133" s="83">
        <f t="shared" si="30"/>
        <v>0</v>
      </c>
      <c r="F133" s="83">
        <f t="shared" si="30"/>
        <v>0</v>
      </c>
      <c r="G133" s="83">
        <f t="shared" si="30"/>
        <v>0</v>
      </c>
      <c r="H133" s="83">
        <f t="shared" si="30"/>
        <v>0</v>
      </c>
    </row>
    <row r="134" spans="1:8" s="35" customFormat="1" x14ac:dyDescent="0.3">
      <c r="A134" s="35" t="str">
        <f>A129</f>
        <v>Block 4</v>
      </c>
      <c r="B134" s="35" t="s">
        <v>24</v>
      </c>
      <c r="C134" s="35" t="s">
        <v>22</v>
      </c>
      <c r="D134" s="83">
        <f t="shared" si="30"/>
        <v>0</v>
      </c>
      <c r="E134" s="83">
        <f t="shared" si="30"/>
        <v>0</v>
      </c>
      <c r="F134" s="83">
        <f t="shared" si="30"/>
        <v>0</v>
      </c>
      <c r="G134" s="83">
        <f t="shared" si="30"/>
        <v>0</v>
      </c>
      <c r="H134" s="83">
        <f t="shared" si="30"/>
        <v>0</v>
      </c>
    </row>
    <row r="135" spans="1:8" s="35" customFormat="1" x14ac:dyDescent="0.3"/>
    <row r="136" spans="1:8" s="37" customFormat="1" ht="18.75" x14ac:dyDescent="0.3">
      <c r="A136" s="36" t="s">
        <v>118</v>
      </c>
    </row>
    <row r="137" spans="1:8" s="35" customFormat="1" x14ac:dyDescent="0.3">
      <c r="A137" s="38" t="str">
        <f>Dist1</f>
        <v>Citipower</v>
      </c>
    </row>
    <row r="138" spans="1:8" s="35" customFormat="1" x14ac:dyDescent="0.3">
      <c r="A138" s="40" t="s">
        <v>62</v>
      </c>
      <c r="B138" s="104" t="s">
        <v>24</v>
      </c>
      <c r="C138" s="35" t="s">
        <v>11</v>
      </c>
      <c r="D138" s="80">
        <f>IF(VLOOKUP($A138,$A$352:$H$360,3,FALSE)="$/kWh",VLOOKUP($A138,$A$352:$H$360,COLUMN(D138),FALSE)*100,IF(VLOOKUP($A138,$A$352:$H$360,3,FALSE)="$/mWh",VLOOKUP($A138,$A$352:$H$360,COLUMN(D138),FALSE)*100/1000,VLOOKUP($A138,$A$352:$H$360,COLUMN(D138),FALSE)))</f>
        <v>0</v>
      </c>
      <c r="E138" s="80">
        <f>IF(VLOOKUP($A138,$A$352:$H$360,3,FALSE)="$/kWh",VLOOKUP($A138,$A$352:$H$360,COLUMN(E138),FALSE)*100,IF(VLOOKUP($A138,$A$352:$H$360,3,FALSE)="$/mWh",VLOOKUP($A138,$A$352:$H$360,COLUMN(E138),FALSE)*100/1000,VLOOKUP($A138,$A$352:$H$360,COLUMN(E138),FALSE)))</f>
        <v>0</v>
      </c>
      <c r="F138" s="80">
        <f>IF(VLOOKUP($A138,$A$352:$H$360,3,FALSE)="$/kWh",VLOOKUP($A138,$A$352:$H$360,COLUMN(F138),FALSE)*100,IF(VLOOKUP($A138,$A$352:$H$360,3,FALSE)="$/mWh",VLOOKUP($A138,$A$352:$H$360,COLUMN(F138),FALSE)*100/1000,VLOOKUP($A138,$A$352:$H$360,COLUMN(F138),FALSE)))</f>
        <v>0</v>
      </c>
      <c r="G138" s="80">
        <f>IF(VLOOKUP($A138,$A$352:$H$360,3,FALSE)="$/kWh",VLOOKUP($A138,$A$352:$H$360,COLUMN(G138),FALSE)*100,IF(VLOOKUP($A138,$A$352:$H$360,3,FALSE)="$/mWh",VLOOKUP($A138,$A$352:$H$360,COLUMN(G138),FALSE)*100/1000,VLOOKUP($A138,$A$352:$H$360,COLUMN(G138),FALSE)))</f>
        <v>0</v>
      </c>
      <c r="H138" s="80">
        <f>IF(VLOOKUP($A138,$A$352:$H$360,3,FALSE)="$/kWh",VLOOKUP($A138,$A$352:$H$360,COLUMN(H138),FALSE)*100,IF(VLOOKUP($A138,$A$352:$H$360,3,FALSE)="$/mWh",VLOOKUP($A138,$A$352:$H$360,COLUMN(H138),FALSE)*100/1000,VLOOKUP($A138,$A$352:$H$360,COLUMN(H138),FALSE)))</f>
        <v>0</v>
      </c>
    </row>
    <row r="139" spans="1:8" s="35" customFormat="1" x14ac:dyDescent="0.3">
      <c r="A139" s="40" t="s">
        <v>67</v>
      </c>
      <c r="B139" s="104" t="s">
        <v>24</v>
      </c>
      <c r="C139" s="35" t="s">
        <v>11</v>
      </c>
      <c r="D139" s="80">
        <f ca="1">IF(VLOOKUP($A139,dist1Retail,3,FALSE)="$/kWh",VLOOKUP($A139,dist1Retail,COLUMN(D139),FALSE)*100,IF(VLOOKUP($A139,dist1Retail,3,FALSE)="$/mWh",VLOOKUP($A139,dist1Retail,COLUMN(D139),FALSE)*100/1000,VLOOKUP($A139,dist1Retail,COLUMN(D139),FALSE)))+(VLOOKUP(OFFSET(D139,-2,-1*(COLUMN(D139)-1)),$A$519:$H$523,COLUMN(D139),FALSE))</f>
        <v>0.43999227350852893</v>
      </c>
      <c r="E139" s="80">
        <f ca="1">IF(VLOOKUP($A139,dist1Retail,3,FALSE)="$/kWh",VLOOKUP($A139,dist1Retail,COLUMN(E139),FALSE)*100,IF(VLOOKUP($A139,dist1Retail,3,FALSE)="$/mWh",VLOOKUP($A139,dist1Retail,COLUMN(E139),FALSE)*100/1000,VLOOKUP($A139,dist1Retail,COLUMN(E139),FALSE)))+(VLOOKUP(OFFSET(E139,-2,-1*(COLUMN(E139)-1)),$A$519:$H$523,COLUMN(E139),FALSE))</f>
        <v>0.52897443353026441</v>
      </c>
      <c r="F139" s="80">
        <f ca="1">IF(VLOOKUP($A139,dist1Retail,3,FALSE)="$/kWh",VLOOKUP($A139,dist1Retail,COLUMN(F139),FALSE)*100,IF(VLOOKUP($A139,dist1Retail,3,FALSE)="$/mWh",VLOOKUP($A139,dist1Retail,COLUMN(F139),FALSE)*100/1000,VLOOKUP($A139,dist1Retail,COLUMN(F139),FALSE)))+(VLOOKUP(OFFSET(F139,-2,-1*(COLUMN(F139)-1)),$A$519:$H$523,COLUMN(F139),FALSE))</f>
        <v>0.2881821035194338</v>
      </c>
      <c r="G139" s="80">
        <f ca="1">IF(VLOOKUP($A139,dist1Retail,3,FALSE)="$/kWh",VLOOKUP($A139,dist1Retail,COLUMN(G139),FALSE)*100,IF(VLOOKUP($A139,dist1Retail,3,FALSE)="$/mWh",VLOOKUP($A139,dist1Retail,COLUMN(G139),FALSE)*100/1000,VLOOKUP($A139,dist1Retail,COLUMN(G139),FALSE)))+(VLOOKUP(OFFSET(G139,-2,-1*(COLUMN(G139)-1)),$A$519:$H$523,COLUMN(G139),FALSE))</f>
        <v>0.12683626123551275</v>
      </c>
      <c r="H139" s="80">
        <f ca="1">IF(VLOOKUP($A139,dist1Retail,3,FALSE)="$/kWh",VLOOKUP($A139,dist1Retail,COLUMN(H139),FALSE)*100,IF(VLOOKUP($A139,dist1Retail,3,FALSE)="$/mWh",VLOOKUP($A139,dist1Retail,COLUMN(H139),FALSE)*100/1000,VLOOKUP($A139,dist1Retail,COLUMN(H139),FALSE)))+(VLOOKUP(OFFSET(H139,-2,-1*(COLUMN(H139)-1)),$A$519:$H$523,COLUMN(H139),FALSE))</f>
        <v>0.11021384523313774</v>
      </c>
    </row>
    <row r="140" spans="1:8" s="35" customFormat="1" x14ac:dyDescent="0.3">
      <c r="D140" s="39"/>
      <c r="E140" s="39"/>
      <c r="F140" s="39"/>
      <c r="G140" s="39"/>
      <c r="H140" s="39"/>
    </row>
    <row r="141" spans="1:8" s="35" customFormat="1" x14ac:dyDescent="0.3">
      <c r="A141" s="38" t="str">
        <f>Dist2</f>
        <v>Powercor</v>
      </c>
      <c r="D141" s="39"/>
      <c r="E141" s="39"/>
      <c r="F141" s="39"/>
      <c r="G141" s="39"/>
      <c r="H141" s="39"/>
    </row>
    <row r="142" spans="1:8" s="35" customFormat="1" x14ac:dyDescent="0.3">
      <c r="A142" s="40" t="str">
        <f>A138</f>
        <v>Retail operating Cost</v>
      </c>
      <c r="B142" s="104" t="s">
        <v>24</v>
      </c>
      <c r="C142" s="35" t="s">
        <v>11</v>
      </c>
      <c r="D142" s="80">
        <f>IF(LEFT($A141,5)="blank",0,IF(VLOOKUP($A138,$A$363:$H$371,3,FALSE)="$/kWh",VLOOKUP($A138,$A$363:$H$371,COLUMN(D138),FALSE)*100,IF(VLOOKUP($A138,$A$363:$H$371,3,FALSE)="$/mWh",VLOOKUP($A138,$A$363:$H$371,COLUMN(D138),FALSE)*100/1000,VLOOKUP($A138,$A$363:$H$371,COLUMN(D138),FALSE))))</f>
        <v>0</v>
      </c>
      <c r="E142" s="80">
        <f>IF(LEFT($A141,5)="blank",0,IF(VLOOKUP($A138,$A$363:$H$371,3,FALSE)="$/kWh",VLOOKUP($A138,$A$363:$H$371,COLUMN(E138),FALSE)*100,IF(VLOOKUP($A138,$A$363:$H$371,3,FALSE)="$/mWh",VLOOKUP($A138,$A$363:$H$371,COLUMN(E138),FALSE)*100/1000,VLOOKUP($A138,$A$363:$H$371,COLUMN(E138),FALSE))))</f>
        <v>0</v>
      </c>
      <c r="F142" s="80">
        <f>IF(LEFT($A141,5)="blank",0,IF(VLOOKUP($A138,$A$363:$H$371,3,FALSE)="$/kWh",VLOOKUP($A138,$A$363:$H$371,COLUMN(F138),FALSE)*100,IF(VLOOKUP($A138,$A$363:$H$371,3,FALSE)="$/mWh",VLOOKUP($A138,$A$363:$H$371,COLUMN(F138),FALSE)*100/1000,VLOOKUP($A138,$A$363:$H$371,COLUMN(F138),FALSE))))</f>
        <v>0</v>
      </c>
      <c r="G142" s="80">
        <f>IF(LEFT($A141,5)="blank",0,IF(VLOOKUP($A138,$A$363:$H$371,3,FALSE)="$/kWh",VLOOKUP($A138,$A$363:$H$371,COLUMN(G138),FALSE)*100,IF(VLOOKUP($A138,$A$363:$H$371,3,FALSE)="$/mWh",VLOOKUP($A138,$A$363:$H$371,COLUMN(G138),FALSE)*100/1000,VLOOKUP($A138,$A$363:$H$371,COLUMN(G138),FALSE))))</f>
        <v>0</v>
      </c>
      <c r="H142" s="80">
        <f>IF(LEFT($A141,5)="blank",0,IF(VLOOKUP($A138,$A$363:$H$371,3,FALSE)="$/kWh",VLOOKUP($A138,$A$363:$H$371,COLUMN(H138),FALSE)*100,IF(VLOOKUP($A138,$A$363:$H$371,3,FALSE)="$/mWh",VLOOKUP($A138,$A$363:$H$371,COLUMN(H138),FALSE)*100/1000,VLOOKUP($A138,$A$363:$H$371,COLUMN(H138),FALSE))))</f>
        <v>0</v>
      </c>
    </row>
    <row r="143" spans="1:8" s="35" customFormat="1" x14ac:dyDescent="0.3">
      <c r="A143" s="40" t="s">
        <v>67</v>
      </c>
      <c r="B143" s="104" t="s">
        <v>24</v>
      </c>
      <c r="C143" s="35" t="s">
        <v>11</v>
      </c>
      <c r="D143" s="80">
        <f ca="1">IF(LEFT($A141,5)="blank",0,IF(VLOOKUP($A143,dist2Retail,3,FALSE)="$/kWh",VLOOKUP($A143,dist2Retail,COLUMN(D143),FALSE)*100,IF(VLOOKUP($A143,dist2Retail,3,FALSE)="$/mWh",VLOOKUP($A143,dist2Retail,COLUMN(D143),FALSE)*100/1000,VLOOKUP($A143,dist2Retail,COLUMN(D143),FALSE)))+(VLOOKUP(OFFSET(D143,-2,-1*(COLUMN(D143)-1)),$A$519:$H$523,COLUMN(D143),FALSE)))</f>
        <v>0.43999227350852893</v>
      </c>
      <c r="E143" s="80">
        <f ca="1">IF(LEFT($A141,5)="blank",0,IF(VLOOKUP($A143,dist2Retail,3,FALSE)="$/kWh",VLOOKUP($A143,dist2Retail,COLUMN(E143),FALSE)*100,IF(VLOOKUP($A143,dist2Retail,3,FALSE)="$/mWh",VLOOKUP($A143,dist2Retail,COLUMN(E143),FALSE)*100/1000,VLOOKUP($A143,dist2Retail,COLUMN(E143),FALSE)))+(VLOOKUP(OFFSET(E143,-2,-1*(COLUMN(E143)-1)),$A$519:$H$523,COLUMN(E143),FALSE)))</f>
        <v>0.43999227350852893</v>
      </c>
      <c r="F143" s="80">
        <f ca="1">IF(LEFT($A141,5)="blank",0,IF(VLOOKUP($A143,dist2Retail,3,FALSE)="$/kWh",VLOOKUP($A143,dist2Retail,COLUMN(F143),FALSE)*100,IF(VLOOKUP($A143,dist2Retail,3,FALSE)="$/mWh",VLOOKUP($A143,dist2Retail,COLUMN(F143),FALSE)*100/1000,VLOOKUP($A143,dist2Retail,COLUMN(F143),FALSE)))+(VLOOKUP(OFFSET(F143,-2,-1*(COLUMN(F143)-1)),$A$519:$H$523,COLUMN(F143),FALSE)))</f>
        <v>0.43999227350852893</v>
      </c>
      <c r="G143" s="80">
        <f ca="1">IF(LEFT($A141,5)="blank",0,IF(VLOOKUP($A143,dist2Retail,3,FALSE)="$/kWh",VLOOKUP($A143,dist2Retail,COLUMN(G143),FALSE)*100,IF(VLOOKUP($A143,dist2Retail,3,FALSE)="$/mWh",VLOOKUP($A143,dist2Retail,COLUMN(G143),FALSE)*100/1000,VLOOKUP($A143,dist2Retail,COLUMN(G143),FALSE)))+(VLOOKUP(OFFSET(G143,-2,-1*(COLUMN(G143)-1)),$A$519:$H$523,COLUMN(G143),FALSE)))</f>
        <v>0.19365177178870679</v>
      </c>
      <c r="H143" s="80">
        <f ca="1">IF(LEFT($A141,5)="blank",0,IF(VLOOKUP($A143,dist2Retail,3,FALSE)="$/kWh",VLOOKUP($A143,dist2Retail,COLUMN(H143),FALSE)*100,IF(VLOOKUP($A143,dist2Retail,3,FALSE)="$/mWh",VLOOKUP($A143,dist2Retail,COLUMN(H143),FALSE)*100/1000,VLOOKUP($A143,dist2Retail,COLUMN(H143),FALSE)))+(VLOOKUP(OFFSET(H143,-2,-1*(COLUMN(H143)-1)),$A$519:$H$523,COLUMN(H143),FALSE)))</f>
        <v>0.16827290710984494</v>
      </c>
    </row>
    <row r="144" spans="1:8" s="35" customFormat="1" x14ac:dyDescent="0.3">
      <c r="D144" s="39"/>
      <c r="E144" s="39"/>
      <c r="F144" s="39"/>
      <c r="G144" s="39"/>
      <c r="H144" s="39"/>
    </row>
    <row r="145" spans="1:9" s="35" customFormat="1" x14ac:dyDescent="0.3">
      <c r="A145" s="38" t="str">
        <f>Dist3</f>
        <v>SP Ausnet</v>
      </c>
      <c r="D145" s="39"/>
      <c r="E145" s="39"/>
      <c r="F145" s="39"/>
      <c r="G145" s="39"/>
      <c r="H145" s="39"/>
    </row>
    <row r="146" spans="1:9" s="35" customFormat="1" x14ac:dyDescent="0.3">
      <c r="A146" s="40" t="str">
        <f>A142</f>
        <v>Retail operating Cost</v>
      </c>
      <c r="B146" s="104" t="s">
        <v>24</v>
      </c>
      <c r="C146" s="35" t="s">
        <v>11</v>
      </c>
      <c r="D146" s="80">
        <f>IF(LEFT($A145,5)="blank",0,IF(VLOOKUP($A138,$A$374:$H$382,3,FALSE)="$/kWh",VLOOKUP($A138,$A$374:$H$382,COLUMN(D138),FALSE)*100,IF(VLOOKUP($A138,$A$374:$H$382,3,FALSE)="$/mWh",VLOOKUP($A138,$A$374:$H$382,COLUMN(D138),FALSE)*100/1000,VLOOKUP($A138,$A$374:$H$382,COLUMN(D138),FALSE))))</f>
        <v>0</v>
      </c>
      <c r="E146" s="80">
        <f>IF(LEFT($A145,5)="blank",0,IF(VLOOKUP($A138,$A$374:$H$382,3,FALSE)="$/kWh",VLOOKUP($A138,$A$374:$H$382,COLUMN(E138),FALSE)*100,IF(VLOOKUP($A138,$A$374:$H$382,3,FALSE)="$/mWh",VLOOKUP($A138,$A$374:$H$382,COLUMN(E138),FALSE)*100/1000,VLOOKUP($A138,$A$374:$H$382,COLUMN(E138),FALSE))))</f>
        <v>0</v>
      </c>
      <c r="F146" s="80">
        <f>IF(LEFT($A145,5)="blank",0,IF(VLOOKUP($A138,$A$374:$H$382,3,FALSE)="$/kWh",VLOOKUP($A138,$A$374:$H$382,COLUMN(F138),FALSE)*100,IF(VLOOKUP($A138,$A$374:$H$382,3,FALSE)="$/mWh",VLOOKUP($A138,$A$374:$H$382,COLUMN(F138),FALSE)*100/1000,VLOOKUP($A138,$A$374:$H$382,COLUMN(F138),FALSE))))</f>
        <v>0</v>
      </c>
      <c r="G146" s="80">
        <f>IF(LEFT($A145,5)="blank",0,IF(VLOOKUP($A138,$A$374:$H$382,3,FALSE)="$/kWh",VLOOKUP($A138,$A$374:$H$382,COLUMN(G138),FALSE)*100,IF(VLOOKUP($A138,$A$374:$H$382,3,FALSE)="$/mWh",VLOOKUP($A138,$A$374:$H$382,COLUMN(G138),FALSE)*100/1000,VLOOKUP($A138,$A$374:$H$382,COLUMN(G138),FALSE))))</f>
        <v>0</v>
      </c>
      <c r="H146" s="80">
        <f>IF(LEFT($A145,5)="blank",0,IF(VLOOKUP($A138,$A$374:$H$382,3,FALSE)="$/kWh",VLOOKUP($A138,$A$374:$H$382,COLUMN(H138),FALSE)*100,IF(VLOOKUP($A138,$A$374:$H$382,3,FALSE)="$/mWh",VLOOKUP($A138,$A$374:$H$382,COLUMN(H138),FALSE)*100/1000,VLOOKUP($A138,$A$374:$H$382,COLUMN(H138),FALSE))))</f>
        <v>0</v>
      </c>
    </row>
    <row r="147" spans="1:9" s="35" customFormat="1" x14ac:dyDescent="0.3">
      <c r="A147" s="40" t="s">
        <v>67</v>
      </c>
      <c r="B147" s="104" t="s">
        <v>24</v>
      </c>
      <c r="C147" s="35" t="s">
        <v>11</v>
      </c>
      <c r="D147" s="80">
        <f ca="1">IF(LEFT($A145,5)="blank",0,IF(VLOOKUP($A147,dist3retail,3,FALSE)="$/kWh",VLOOKUP($A147,dist3retail,COLUMN(D147),FALSE)*100,IF(VLOOKUP($A147,dist3retail,3,FALSE)="$/mWh",VLOOKUP($A147,dist3retail,COLUMN(D147),FALSE)*100/1000,VLOOKUP($A147,dist3retail,COLUMN(D147),FALSE)))+(VLOOKUP(OFFSET(D147,-2,-1*(COLUMN(D147)-1)),$A$519:$H$523,COLUMN(D147),FALSE)))</f>
        <v>0.43999227350852893</v>
      </c>
      <c r="E147" s="106">
        <f ca="1">IF(LEFT($A145,5)="blank",0,IF(VLOOKUP($A147,dist3retail,3,FALSE)="$/kWh",VLOOKUP($A147,dist3retail,COLUMN(E147),FALSE)*100,IF(VLOOKUP($A147,dist3retail,3,FALSE)="$/mWh",VLOOKUP($A147,dist3retail,COLUMN(E147),FALSE)*100/1000,VLOOKUP($A147,dist3retail,COLUMN(E147),FALSE)))+(VLOOKUP(OFFSET(E147,-2,-1*(COLUMN(E147)-1)),$A$519:$H$523,COLUMN(E147),FALSE)))</f>
        <v>0.52897443353026441</v>
      </c>
      <c r="F147" s="106">
        <f ca="1">IF(LEFT($A145,5)="blank",0,IF(VLOOKUP($A147,dist3retail,3,FALSE)="$/kWh",VLOOKUP($A147,dist3retail,COLUMN(F147),FALSE)*100,IF(VLOOKUP($A147,dist3retail,3,FALSE)="$/mWh",VLOOKUP($A147,dist3retail,COLUMN(F147),FALSE)*100/1000,VLOOKUP($A147,dist3retail,COLUMN(F147),FALSE)))+(VLOOKUP(OFFSET(F147,-2,-1*(COLUMN(F147)-1)),$A$519:$H$523,COLUMN(F147),FALSE)))</f>
        <v>0.2881821035194338</v>
      </c>
      <c r="G147" s="106">
        <f ca="1">IF(LEFT($A145,5)="blank",0,IF(VLOOKUP($A147,dist3retail,3,FALSE)="$/kWh",VLOOKUP($A147,dist3retail,COLUMN(G147),FALSE)*100,IF(VLOOKUP($A147,dist3retail,3,FALSE)="$/mWh",VLOOKUP($A147,dist3retail,COLUMN(G147),FALSE)*100/1000,VLOOKUP($A147,dist3retail,COLUMN(G147),FALSE)))+(VLOOKUP(OFFSET(G147,-2,-1*(COLUMN(G147)-1)),$A$519:$H$523,COLUMN(G147),FALSE)))</f>
        <v>0.12683626123551256</v>
      </c>
      <c r="H147" s="106">
        <f ca="1">IF(LEFT($A145,5)="blank",0,IF(VLOOKUP($A147,dist3retail,3,FALSE)="$/kWh",VLOOKUP($A147,dist3retail,COLUMN(H147),FALSE)*100,IF(VLOOKUP($A147,dist3retail,3,FALSE)="$/mWh",VLOOKUP($A147,dist3retail,COLUMN(H147),FALSE)*100/1000,VLOOKUP($A147,dist3retail,COLUMN(H147),FALSE)))+(VLOOKUP(OFFSET(H147,-2,-1*(COLUMN(H147)-1)),$A$519:$H$523,COLUMN(H147),FALSE)))</f>
        <v>0.11021384523313771</v>
      </c>
    </row>
    <row r="148" spans="1:9" s="35" customFormat="1" x14ac:dyDescent="0.3">
      <c r="D148" s="39"/>
      <c r="E148" s="39"/>
      <c r="F148" s="39"/>
      <c r="G148" s="39"/>
      <c r="H148" s="39"/>
    </row>
    <row r="149" spans="1:9" s="35" customFormat="1" x14ac:dyDescent="0.3">
      <c r="A149" s="38" t="str">
        <f>Dist4</f>
        <v>United</v>
      </c>
      <c r="D149" s="39"/>
      <c r="E149" s="39"/>
      <c r="F149" s="39"/>
      <c r="G149" s="39"/>
      <c r="H149" s="39"/>
    </row>
    <row r="150" spans="1:9" s="35" customFormat="1" x14ac:dyDescent="0.3">
      <c r="A150" s="40" t="str">
        <f>A146</f>
        <v>Retail operating Cost</v>
      </c>
      <c r="B150" s="104" t="s">
        <v>24</v>
      </c>
      <c r="C150" s="35" t="s">
        <v>11</v>
      </c>
      <c r="D150" s="80">
        <f>IF(LEFT($A149,5)="blank",0,IF(VLOOKUP($A150,$A$385:$H$393,3,FALSE)="$/kWh",VLOOKUP($A150,$A$385:$H$393,COLUMN(D150),FALSE)*100,IF(VLOOKUP($A150,$A$385:$H$393,3,FALSE)="$/mWh",VLOOKUP($A150,$A$385:$H$393,COLUMN(D150),FALSE)*100/1000,VLOOKUP($A150,$A$385:$H$393,COLUMN(D150),FALSE))))</f>
        <v>0</v>
      </c>
      <c r="E150" s="80">
        <f>IF(LEFT($A149,5)="blank",0,IF(VLOOKUP($A150,$A$385:$H$393,3,FALSE)="$/kWh",VLOOKUP($A150,$A$385:$H$393,COLUMN(E150),FALSE)*100,IF(VLOOKUP($A150,$A$385:$H$393,3,FALSE)="$/mWh",VLOOKUP($A150,$A$385:$H$393,COLUMN(E150),FALSE)*100/1000,VLOOKUP($A150,$A$385:$H$393,COLUMN(E150),FALSE))))</f>
        <v>0</v>
      </c>
      <c r="F150" s="80">
        <f>IF(LEFT($A149,5)="blank",0,IF(VLOOKUP($A150,$A$385:$H$393,3,FALSE)="$/kWh",VLOOKUP($A150,$A$385:$H$393,COLUMN(F150),FALSE)*100,IF(VLOOKUP($A150,$A$385:$H$393,3,FALSE)="$/mWh",VLOOKUP($A150,$A$385:$H$393,COLUMN(F150),FALSE)*100/1000,VLOOKUP($A150,$A$385:$H$393,COLUMN(F150),FALSE))))</f>
        <v>0</v>
      </c>
      <c r="G150" s="80">
        <f>IF(LEFT($A149,5)="blank",0,IF(VLOOKUP($A150,$A$385:$H$393,3,FALSE)="$/kWh",VLOOKUP($A150,$A$385:$H$393,COLUMN(G150),FALSE)*100,IF(VLOOKUP($A150,$A$385:$H$393,3,FALSE)="$/mWh",VLOOKUP($A150,$A$385:$H$393,COLUMN(G150),FALSE)*100/1000,VLOOKUP($A150,$A$385:$H$393,COLUMN(G150),FALSE))))</f>
        <v>0</v>
      </c>
      <c r="H150" s="80">
        <f>IF(LEFT($A149,5)="blank",0,IF(VLOOKUP($A150,$A$385:$H$393,3,FALSE)="$/kWh",VLOOKUP($A150,$A$385:$H$393,COLUMN(H150),FALSE)*100,IF(VLOOKUP($A150,$A$385:$H$393,3,FALSE)="$/mWh",VLOOKUP($A150,$A$385:$H$393,COLUMN(H150),FALSE)*100/1000,VLOOKUP($A150,$A$385:$H$393,COLUMN(H150),FALSE))))</f>
        <v>0</v>
      </c>
    </row>
    <row r="151" spans="1:9" s="35" customFormat="1" x14ac:dyDescent="0.3">
      <c r="A151" s="40" t="s">
        <v>67</v>
      </c>
      <c r="B151" s="104" t="s">
        <v>24</v>
      </c>
      <c r="C151" s="35" t="s">
        <v>11</v>
      </c>
      <c r="D151" s="80">
        <f ca="1">IF(LEFT($A149,5)="blank",0,IF(VLOOKUP($A151,dist4retail,3,FALSE)="$/kWh",VLOOKUP($A151,dist4retail,COLUMN(D151),FALSE)*100,IF(VLOOKUP($A151,dist4retail,3,FALSE)="$/mWh",VLOOKUP($A151,dist4retail,COLUMN(D151),FALSE)*100/1000,VLOOKUP($A151,dist4retail,COLUMN(D151),FALSE)))+(VLOOKUP(OFFSET(D151,-2,-1*(COLUMN(D151)-1)),$A$519:$H$523,COLUMN(D151),FALSE)))</f>
        <v>0.43999227350852893</v>
      </c>
      <c r="E151" s="80">
        <f ca="1">IF(LEFT($A149,5)="blank",0,IF(VLOOKUP($A151,dist4retail,3,FALSE)="$/kWh",VLOOKUP($A151,dist4retail,COLUMN(E151),FALSE)*100,IF(VLOOKUP($A151,dist4retail,3,FALSE)="$/mWh",VLOOKUP($A151,dist4retail,COLUMN(E151),FALSE)*100/1000,VLOOKUP($A151,dist4retail,COLUMN(E151),FALSE)))+(VLOOKUP(OFFSET(E151,-2,-1*(COLUMN(E151)-1)),$A$519:$H$523,COLUMN(E151),FALSE)))</f>
        <v>0.52897443353026441</v>
      </c>
      <c r="F151" s="80">
        <f ca="1">IF(LEFT($A149,5)="blank",0,IF(VLOOKUP($A151,dist4retail,3,FALSE)="$/kWh",VLOOKUP($A151,dist4retail,COLUMN(F151),FALSE)*100,IF(VLOOKUP($A151,dist4retail,3,FALSE)="$/mWh",VLOOKUP($A151,dist4retail,COLUMN(F151),FALSE)*100/1000,VLOOKUP($A151,dist4retail,COLUMN(F151),FALSE)))+(VLOOKUP(OFFSET(F151,-2,-1*(COLUMN(F151)-1)),$A$519:$H$523,COLUMN(F151),FALSE)))</f>
        <v>0.2881821035194338</v>
      </c>
      <c r="G151" s="80">
        <f ca="1">IF(LEFT($A149,5)="blank",0,IF(VLOOKUP($A151,dist4retail,3,FALSE)="$/kWh",VLOOKUP($A151,dist4retail,COLUMN(G151),FALSE)*100,IF(VLOOKUP($A151,dist4retail,3,FALSE)="$/mWh",VLOOKUP($A151,dist4retail,COLUMN(G151),FALSE)*100/1000,VLOOKUP($A151,dist4retail,COLUMN(G151),FALSE)))+(VLOOKUP(OFFSET(G151,-2,-1*(COLUMN(G151)-1)),$A$519:$H$523,COLUMN(G151),FALSE)))</f>
        <v>0.12683626123551256</v>
      </c>
      <c r="H151" s="80">
        <f ca="1">IF(LEFT($A149,5)="blank",0,IF(VLOOKUP($A151,dist4retail,3,FALSE)="$/kWh",VLOOKUP($A151,dist4retail,COLUMN(H151),FALSE)*100,IF(VLOOKUP($A151,dist4retail,3,FALSE)="$/mWh",VLOOKUP($A151,dist4retail,COLUMN(H151),FALSE)*100/1000,VLOOKUP($A151,dist4retail,COLUMN(H151),FALSE)))+(VLOOKUP(OFFSET(H151,-2,-1*(COLUMN(H151)-1)),$A$519:$H$523,COLUMN(H151),FALSE)))</f>
        <v>0.11021384523313771</v>
      </c>
    </row>
    <row r="152" spans="1:9" s="35" customFormat="1" x14ac:dyDescent="0.3">
      <c r="D152" s="39"/>
      <c r="E152" s="39"/>
      <c r="F152" s="39"/>
      <c r="G152" s="39"/>
      <c r="H152" s="39"/>
    </row>
    <row r="153" spans="1:9" s="35" customFormat="1" x14ac:dyDescent="0.3">
      <c r="A153" s="38" t="str">
        <f>Dist5</f>
        <v>Jemena</v>
      </c>
      <c r="D153" s="39"/>
      <c r="E153" s="39"/>
      <c r="F153" s="39"/>
      <c r="G153" s="39"/>
      <c r="H153" s="39"/>
    </row>
    <row r="154" spans="1:9" s="35" customFormat="1" x14ac:dyDescent="0.3">
      <c r="A154" s="40" t="str">
        <f>A150</f>
        <v>Retail operating Cost</v>
      </c>
      <c r="B154" s="104" t="s">
        <v>24</v>
      </c>
      <c r="C154" s="35" t="s">
        <v>11</v>
      </c>
      <c r="D154" s="80">
        <f>IF(LEFT($A153,5)="blank",0,IF(VLOOKUP($A154,$A$396:$H$404,3,FALSE)="$/kWh",VLOOKUP($A154,$A$396:$H$404,COLUMN(D154),FALSE)*100,IF(VLOOKUP($A154,$A$396:$H$404,3,FALSE)="$/mWh",VLOOKUP($A154,$A$396:$H$404,COLUMN(D154),FALSE)*100/1000,VLOOKUP($A154,$A$396:$H$404,COLUMN(D154),FALSE))))</f>
        <v>0</v>
      </c>
      <c r="E154" s="80">
        <f>IF(LEFT($A153,5)="blank",0,IF(VLOOKUP($A154,$A$396:$H$404,3,FALSE)="$/kWh",VLOOKUP($A154,$A$396:$H$404,COLUMN(E154),FALSE)*100,IF(VLOOKUP($A154,$A$396:$H$404,3,FALSE)="$/mWh",VLOOKUP($A154,$A$396:$H$404,COLUMN(E154),FALSE)*100/1000,VLOOKUP($A154,$A$396:$H$404,COLUMN(E154),FALSE))))</f>
        <v>0</v>
      </c>
      <c r="F154" s="80">
        <f>IF(LEFT($A153,5)="blank",0,IF(VLOOKUP($A154,$A$396:$H$404,3,FALSE)="$/kWh",VLOOKUP($A154,$A$396:$H$404,COLUMN(F154),FALSE)*100,IF(VLOOKUP($A154,$A$396:$H$404,3,FALSE)="$/mWh",VLOOKUP($A154,$A$396:$H$404,COLUMN(F154),FALSE)*100/1000,VLOOKUP($A154,$A$396:$H$404,COLUMN(F154),FALSE))))</f>
        <v>0</v>
      </c>
      <c r="G154" s="80">
        <f>IF(LEFT($A153,5)="blank",0,IF(VLOOKUP($A154,$A$396:$H$404,3,FALSE)="$/kWh",VLOOKUP($A154,$A$396:$H$404,COLUMN(G154),FALSE)*100,IF(VLOOKUP($A154,$A$396:$H$404,3,FALSE)="$/mWh",VLOOKUP($A154,$A$396:$H$404,COLUMN(G154),FALSE)*100/1000,VLOOKUP($A154,$A$396:$H$404,COLUMN(G154),FALSE))))</f>
        <v>0</v>
      </c>
      <c r="H154" s="80">
        <f>IF(LEFT($A153,5)="blank",0,IF(VLOOKUP($A154,$A$396:$H$404,3,FALSE)="$/kWh",VLOOKUP($A154,$A$396:$H$404,COLUMN(H154),FALSE)*100,IF(VLOOKUP($A154,$A$396:$H$404,3,FALSE)="$/mWh",VLOOKUP($A154,$A$396:$H$404,COLUMN(H154),FALSE)*100/1000,VLOOKUP($A154,$A$396:$H$404,COLUMN(H154),FALSE))))</f>
        <v>0</v>
      </c>
    </row>
    <row r="155" spans="1:9" s="35" customFormat="1" x14ac:dyDescent="0.3">
      <c r="A155" s="40" t="s">
        <v>67</v>
      </c>
      <c r="B155" s="104" t="s">
        <v>24</v>
      </c>
      <c r="C155" s="35" t="s">
        <v>11</v>
      </c>
      <c r="D155" s="80">
        <f ca="1">IF(LEFT($A153,5)="blank",0,IF(VLOOKUP($A155,dist5retail,3,FALSE)="$/kWh",VLOOKUP($A155,dist5retail,COLUMN(D155),FALSE)*100,IF(VLOOKUP($A155,dist5retail,3,FALSE)="$/mWh",VLOOKUP($A155,dist5retail,COLUMN(D155),FALSE)*100/1000,VLOOKUP($A155,dist5retail,COLUMN(D155),FALSE)))+(VLOOKUP(OFFSET(D155,-2,-1*(COLUMN(D155)-1)),$A$519:$H$523,COLUMN(D155),FALSE)))</f>
        <v>0.43999227350852893</v>
      </c>
      <c r="E155" s="80">
        <f ca="1">IF(LEFT($A153,5)="blank",0,IF(VLOOKUP($A155,dist5retail,3,FALSE)="$/kWh",VLOOKUP($A155,dist5retail,COLUMN(E155),FALSE)*100,IF(VLOOKUP($A155,dist5retail,3,FALSE)="$/mWh",VLOOKUP($A155,dist5retail,COLUMN(E155),FALSE)*100/1000,VLOOKUP($A155,dist5retail,COLUMN(E155),FALSE)))+(VLOOKUP(OFFSET(E155,-2,-1*(COLUMN(E155)-1)),$A$519:$H$523,COLUMN(E155),FALSE)))</f>
        <v>0.52897443353026441</v>
      </c>
      <c r="F155" s="80">
        <f ca="1">IF(LEFT($A153,5)="blank",0,IF(VLOOKUP($A155,dist5retail,3,FALSE)="$/kWh",VLOOKUP($A155,dist5retail,COLUMN(F155),FALSE)*100,IF(VLOOKUP($A155,dist5retail,3,FALSE)="$/mWh",VLOOKUP($A155,dist5retail,COLUMN(F155),FALSE)*100/1000,VLOOKUP($A155,dist5retail,COLUMN(F155),FALSE)))+(VLOOKUP(OFFSET(F155,-2,-1*(COLUMN(F155)-1)),$A$519:$H$523,COLUMN(F155),FALSE)))</f>
        <v>0.2881821035194338</v>
      </c>
      <c r="G155" s="80">
        <f ca="1">IF(LEFT($A153,5)="blank",0,IF(VLOOKUP($A155,dist5retail,3,FALSE)="$/kWh",VLOOKUP($A155,dist5retail,COLUMN(G155),FALSE)*100,IF(VLOOKUP($A155,dist5retail,3,FALSE)="$/mWh",VLOOKUP($A155,dist5retail,COLUMN(G155),FALSE)*100/1000,VLOOKUP($A155,dist5retail,COLUMN(G155),FALSE)))+(VLOOKUP(OFFSET(G155,-2,-1*(COLUMN(G155)-1)),$A$519:$H$523,COLUMN(G155),FALSE)))</f>
        <v>0.12683626123551256</v>
      </c>
      <c r="H155" s="80">
        <f ca="1">IF(LEFT($A153,5)="blank",0,IF(VLOOKUP($A155,dist5retail,3,FALSE)="$/kWh",VLOOKUP($A155,dist5retail,COLUMN(H155),FALSE)*100,IF(VLOOKUP($A155,dist5retail,3,FALSE)="$/mWh",VLOOKUP($A155,dist5retail,COLUMN(H155),FALSE)*100/1000,VLOOKUP($A155,dist5retail,COLUMN(H155),FALSE)))+(VLOOKUP(OFFSET(H155,-2,-1*(COLUMN(H155)-1)),$A$519:$H$523,COLUMN(H155),FALSE)))</f>
        <v>0.11021384523313771</v>
      </c>
    </row>
    <row r="156" spans="1:9" s="35" customFormat="1" x14ac:dyDescent="0.3">
      <c r="A156" s="21"/>
      <c r="D156" s="39"/>
      <c r="E156" s="39"/>
      <c r="F156" s="39"/>
      <c r="G156" s="39"/>
      <c r="H156" s="39"/>
    </row>
    <row r="157" spans="1:9" s="35" customFormat="1" x14ac:dyDescent="0.3">
      <c r="A157" s="21" t="str">
        <f>Scheme1</f>
        <v>Energy Saver Incentive</v>
      </c>
      <c r="D157" s="39"/>
      <c r="E157" s="39"/>
      <c r="F157" s="39"/>
      <c r="G157" s="39"/>
      <c r="H157" s="39"/>
    </row>
    <row r="158" spans="1:9" s="35" customFormat="1" x14ac:dyDescent="0.3">
      <c r="A158" s="38" t="str">
        <f>Dist1</f>
        <v>Citipower</v>
      </c>
      <c r="D158" s="39"/>
      <c r="E158" s="39"/>
      <c r="F158" s="39"/>
      <c r="G158" s="39"/>
      <c r="H158" s="39"/>
    </row>
    <row r="159" spans="1:9" s="35" customFormat="1" x14ac:dyDescent="0.3">
      <c r="A159" s="35" t="str">
        <f ca="1">'Calc (Jurisdiction)'!$B$2</f>
        <v>Calc (Jurisdiction)</v>
      </c>
      <c r="B159" s="104" t="s">
        <v>24</v>
      </c>
      <c r="C159" s="35" t="s">
        <v>11</v>
      </c>
      <c r="D159" s="80">
        <f t="shared" ref="D159:H163" ca="1" si="31">IF(LEFT($A$157,5)="blank",0,IF(LEFT($A$158,5)="blank",0,IF(LEFT($A159,5)="blank",0,D$359+VLOOKUP($A159,dist1scheme1,COLUMN(D159),FALSE))))</f>
        <v>0.39</v>
      </c>
      <c r="E159" s="80">
        <f t="shared" ca="1" si="31"/>
        <v>0.39</v>
      </c>
      <c r="F159" s="80">
        <f t="shared" ca="1" si="31"/>
        <v>0.38</v>
      </c>
      <c r="G159" s="80">
        <f t="shared" ca="1" si="31"/>
        <v>0.38</v>
      </c>
      <c r="H159" s="80">
        <f t="shared" ca="1" si="31"/>
        <v>0.38</v>
      </c>
      <c r="I159" s="41"/>
    </row>
    <row r="160" spans="1:9" s="35" customFormat="1" x14ac:dyDescent="0.3">
      <c r="A160" s="35" t="str">
        <f ca="1">'Calc (LRMC Planning case)'!$B$2</f>
        <v>Calc (LRMC Planning case)</v>
      </c>
      <c r="B160" s="104" t="s">
        <v>24</v>
      </c>
      <c r="C160" s="35" t="s">
        <v>11</v>
      </c>
      <c r="D160" s="80">
        <f t="shared" ca="1" si="31"/>
        <v>0.39</v>
      </c>
      <c r="E160" s="80">
        <f t="shared" ca="1" si="31"/>
        <v>0.39</v>
      </c>
      <c r="F160" s="80">
        <f t="shared" ca="1" si="31"/>
        <v>0.38</v>
      </c>
      <c r="G160" s="80">
        <f t="shared" ca="1" si="31"/>
        <v>0.38</v>
      </c>
      <c r="H160" s="80">
        <f t="shared" ca="1" si="31"/>
        <v>0.38</v>
      </c>
      <c r="I160" s="41"/>
    </row>
    <row r="161" spans="1:9" s="35" customFormat="1" x14ac:dyDescent="0.3">
      <c r="A161" s="35" t="str">
        <f ca="1">'Calc (LRMC Slow Rate)'!$B$2</f>
        <v>Calc (LRMC Slow Rate)</v>
      </c>
      <c r="B161" s="104" t="s">
        <v>24</v>
      </c>
      <c r="C161" s="35" t="s">
        <v>11</v>
      </c>
      <c r="D161" s="80">
        <f t="shared" ca="1" si="31"/>
        <v>0.39</v>
      </c>
      <c r="E161" s="80">
        <f t="shared" ca="1" si="31"/>
        <v>0.39</v>
      </c>
      <c r="F161" s="80">
        <f t="shared" ca="1" si="31"/>
        <v>0.38</v>
      </c>
      <c r="G161" s="80">
        <f t="shared" ca="1" si="31"/>
        <v>0.38</v>
      </c>
      <c r="H161" s="80">
        <f t="shared" ca="1" si="31"/>
        <v>0.38</v>
      </c>
      <c r="I161" s="41"/>
    </row>
    <row r="162" spans="1:9" s="35" customFormat="1" x14ac:dyDescent="0.3">
      <c r="A162" s="35" t="str">
        <f ca="1">'Calc (Market Planning Case)'!$B$2</f>
        <v>Calc (Market Planning Case)</v>
      </c>
      <c r="B162" s="104" t="s">
        <v>24</v>
      </c>
      <c r="C162" s="35" t="s">
        <v>11</v>
      </c>
      <c r="D162" s="80">
        <f t="shared" ca="1" si="31"/>
        <v>0.39</v>
      </c>
      <c r="E162" s="80">
        <f t="shared" ca="1" si="31"/>
        <v>0.39</v>
      </c>
      <c r="F162" s="80">
        <f t="shared" ca="1" si="31"/>
        <v>0.38</v>
      </c>
      <c r="G162" s="80">
        <f t="shared" ca="1" si="31"/>
        <v>0.38</v>
      </c>
      <c r="H162" s="80">
        <f t="shared" ca="1" si="31"/>
        <v>0.38</v>
      </c>
      <c r="I162" s="41"/>
    </row>
    <row r="163" spans="1:9" s="35" customFormat="1" x14ac:dyDescent="0.3">
      <c r="A163" s="35" t="str">
        <f ca="1">'Calc (Market Slow Rate)'!$B$2</f>
        <v>Calc (Market Slow Rate)</v>
      </c>
      <c r="B163" s="104" t="s">
        <v>24</v>
      </c>
      <c r="C163" s="35" t="s">
        <v>11</v>
      </c>
      <c r="D163" s="80">
        <f t="shared" ca="1" si="31"/>
        <v>0.39</v>
      </c>
      <c r="E163" s="80">
        <f t="shared" ca="1" si="31"/>
        <v>0.39</v>
      </c>
      <c r="F163" s="80">
        <f t="shared" ca="1" si="31"/>
        <v>0.38</v>
      </c>
      <c r="G163" s="80">
        <f t="shared" ca="1" si="31"/>
        <v>0.38</v>
      </c>
      <c r="H163" s="80">
        <f t="shared" ca="1" si="31"/>
        <v>0.38</v>
      </c>
      <c r="I163" s="41"/>
    </row>
    <row r="164" spans="1:9" s="35" customFormat="1" x14ac:dyDescent="0.3">
      <c r="A164" s="38" t="str">
        <f>Dist2</f>
        <v>Powercor</v>
      </c>
      <c r="D164" s="74"/>
      <c r="E164" s="74"/>
      <c r="F164" s="74"/>
      <c r="G164" s="74"/>
      <c r="H164" s="74"/>
      <c r="I164" s="43"/>
    </row>
    <row r="165" spans="1:9" s="35" customFormat="1" x14ac:dyDescent="0.3">
      <c r="A165" s="35" t="str">
        <f ca="1">'Calc (Jurisdiction)'!$B$2</f>
        <v>Calc (Jurisdiction)</v>
      </c>
      <c r="B165" s="104" t="s">
        <v>24</v>
      </c>
      <c r="C165" s="35" t="s">
        <v>11</v>
      </c>
      <c r="D165" s="80">
        <f t="shared" ref="D165:H169" ca="1" si="32">IF(LEFT($A$157,5)="blank",0,IF(LEFT($A$164,5)="blank",0,IF(LEFT($A165,5)="blank",0,D$370+VLOOKUP($A165,dist2scheme1,COLUMN(D165),FALSE))))</f>
        <v>0.39</v>
      </c>
      <c r="E165" s="80">
        <f t="shared" ca="1" si="32"/>
        <v>0.39</v>
      </c>
      <c r="F165" s="80">
        <f t="shared" ca="1" si="32"/>
        <v>0.38</v>
      </c>
      <c r="G165" s="80">
        <f t="shared" ca="1" si="32"/>
        <v>0.38</v>
      </c>
      <c r="H165" s="80">
        <f t="shared" ca="1" si="32"/>
        <v>0.38</v>
      </c>
    </row>
    <row r="166" spans="1:9" s="35" customFormat="1" x14ac:dyDescent="0.3">
      <c r="A166" s="35" t="str">
        <f ca="1">'Calc (LRMC Planning case)'!$B$2</f>
        <v>Calc (LRMC Planning case)</v>
      </c>
      <c r="B166" s="104" t="s">
        <v>24</v>
      </c>
      <c r="C166" s="35" t="s">
        <v>11</v>
      </c>
      <c r="D166" s="80">
        <f t="shared" ca="1" si="32"/>
        <v>0.39</v>
      </c>
      <c r="E166" s="80">
        <f t="shared" ca="1" si="32"/>
        <v>0.39</v>
      </c>
      <c r="F166" s="80">
        <f t="shared" ca="1" si="32"/>
        <v>0.38</v>
      </c>
      <c r="G166" s="80">
        <f t="shared" ca="1" si="32"/>
        <v>0.38</v>
      </c>
      <c r="H166" s="80">
        <f t="shared" ca="1" si="32"/>
        <v>0.38</v>
      </c>
    </row>
    <row r="167" spans="1:9" s="35" customFormat="1" x14ac:dyDescent="0.3">
      <c r="A167" s="35" t="str">
        <f ca="1">'Calc (LRMC Slow Rate)'!$B$2</f>
        <v>Calc (LRMC Slow Rate)</v>
      </c>
      <c r="B167" s="104" t="s">
        <v>24</v>
      </c>
      <c r="C167" s="35" t="s">
        <v>11</v>
      </c>
      <c r="D167" s="80">
        <f t="shared" ca="1" si="32"/>
        <v>0.39</v>
      </c>
      <c r="E167" s="80">
        <f t="shared" ca="1" si="32"/>
        <v>0.39</v>
      </c>
      <c r="F167" s="80">
        <f t="shared" ca="1" si="32"/>
        <v>0.38</v>
      </c>
      <c r="G167" s="80">
        <f t="shared" ca="1" si="32"/>
        <v>0.38</v>
      </c>
      <c r="H167" s="80">
        <f t="shared" ca="1" si="32"/>
        <v>0.38</v>
      </c>
    </row>
    <row r="168" spans="1:9" s="35" customFormat="1" x14ac:dyDescent="0.3">
      <c r="A168" s="35" t="str">
        <f ca="1">'Calc (Market Planning Case)'!$B$2</f>
        <v>Calc (Market Planning Case)</v>
      </c>
      <c r="B168" s="104" t="s">
        <v>24</v>
      </c>
      <c r="C168" s="35" t="s">
        <v>11</v>
      </c>
      <c r="D168" s="80">
        <f t="shared" ca="1" si="32"/>
        <v>0.39</v>
      </c>
      <c r="E168" s="80">
        <f t="shared" ca="1" si="32"/>
        <v>0.39</v>
      </c>
      <c r="F168" s="80">
        <f t="shared" ca="1" si="32"/>
        <v>0.38</v>
      </c>
      <c r="G168" s="80">
        <f t="shared" ca="1" si="32"/>
        <v>0.38</v>
      </c>
      <c r="H168" s="80">
        <f t="shared" ca="1" si="32"/>
        <v>0.38</v>
      </c>
    </row>
    <row r="169" spans="1:9" s="35" customFormat="1" x14ac:dyDescent="0.3">
      <c r="A169" s="35" t="str">
        <f ca="1">'Calc (Market Slow Rate)'!$B$2</f>
        <v>Calc (Market Slow Rate)</v>
      </c>
      <c r="B169" s="104" t="s">
        <v>24</v>
      </c>
      <c r="C169" s="35" t="s">
        <v>11</v>
      </c>
      <c r="D169" s="80">
        <f t="shared" ca="1" si="32"/>
        <v>0.39</v>
      </c>
      <c r="E169" s="80">
        <f t="shared" ca="1" si="32"/>
        <v>0.39</v>
      </c>
      <c r="F169" s="80">
        <f t="shared" ca="1" si="32"/>
        <v>0.38</v>
      </c>
      <c r="G169" s="80">
        <f t="shared" ca="1" si="32"/>
        <v>0.38</v>
      </c>
      <c r="H169" s="80">
        <f t="shared" ca="1" si="32"/>
        <v>0.38</v>
      </c>
    </row>
    <row r="170" spans="1:9" s="35" customFormat="1" x14ac:dyDescent="0.3">
      <c r="A170" s="38" t="str">
        <f>Dist3</f>
        <v>SP Ausnet</v>
      </c>
      <c r="D170" s="39"/>
      <c r="E170" s="39"/>
      <c r="F170" s="39"/>
      <c r="G170" s="39"/>
      <c r="H170" s="39"/>
    </row>
    <row r="171" spans="1:9" s="35" customFormat="1" x14ac:dyDescent="0.3">
      <c r="A171" s="35" t="str">
        <f ca="1">'Calc (Jurisdiction)'!$B$2</f>
        <v>Calc (Jurisdiction)</v>
      </c>
      <c r="B171" s="104" t="s">
        <v>24</v>
      </c>
      <c r="C171" s="35" t="s">
        <v>11</v>
      </c>
      <c r="D171" s="80">
        <f t="shared" ref="D171:H175" ca="1" si="33">IF(LEFT($A$157,5)="blank",0,IF(LEFT($A$170,5)="blank",0,IF(LEFT($A171,5)="blank",0,D$381+VLOOKUP($A171,dist3scheme1,COLUMN(D171),FALSE))))</f>
        <v>0.39</v>
      </c>
      <c r="E171" s="80">
        <f t="shared" ca="1" si="33"/>
        <v>0.39</v>
      </c>
      <c r="F171" s="80">
        <f t="shared" ca="1" si="33"/>
        <v>0.38</v>
      </c>
      <c r="G171" s="80">
        <f t="shared" ca="1" si="33"/>
        <v>0.38</v>
      </c>
      <c r="H171" s="80">
        <f t="shared" ca="1" si="33"/>
        <v>0.38</v>
      </c>
    </row>
    <row r="172" spans="1:9" s="35" customFormat="1" x14ac:dyDescent="0.3">
      <c r="A172" s="35" t="str">
        <f ca="1">'Calc (LRMC Planning case)'!$B$2</f>
        <v>Calc (LRMC Planning case)</v>
      </c>
      <c r="B172" s="104" t="s">
        <v>24</v>
      </c>
      <c r="C172" s="35" t="s">
        <v>11</v>
      </c>
      <c r="D172" s="80">
        <f t="shared" ca="1" si="33"/>
        <v>0.39</v>
      </c>
      <c r="E172" s="80">
        <f t="shared" ca="1" si="33"/>
        <v>0.39</v>
      </c>
      <c r="F172" s="80">
        <f t="shared" ca="1" si="33"/>
        <v>0.38</v>
      </c>
      <c r="G172" s="80">
        <f t="shared" ca="1" si="33"/>
        <v>0.38</v>
      </c>
      <c r="H172" s="80">
        <f t="shared" ca="1" si="33"/>
        <v>0.38</v>
      </c>
    </row>
    <row r="173" spans="1:9" s="35" customFormat="1" x14ac:dyDescent="0.3">
      <c r="A173" s="35" t="str">
        <f ca="1">'Calc (LRMC Slow Rate)'!$B$2</f>
        <v>Calc (LRMC Slow Rate)</v>
      </c>
      <c r="B173" s="104" t="s">
        <v>24</v>
      </c>
      <c r="C173" s="35" t="s">
        <v>11</v>
      </c>
      <c r="D173" s="80">
        <f t="shared" ca="1" si="33"/>
        <v>0.39</v>
      </c>
      <c r="E173" s="80">
        <f t="shared" ca="1" si="33"/>
        <v>0.39</v>
      </c>
      <c r="F173" s="80">
        <f t="shared" ca="1" si="33"/>
        <v>0.38</v>
      </c>
      <c r="G173" s="80">
        <f t="shared" ca="1" si="33"/>
        <v>0.38</v>
      </c>
      <c r="H173" s="80">
        <f t="shared" ca="1" si="33"/>
        <v>0.38</v>
      </c>
    </row>
    <row r="174" spans="1:9" s="35" customFormat="1" x14ac:dyDescent="0.3">
      <c r="A174" s="35" t="str">
        <f ca="1">'Calc (Market Planning Case)'!$B$2</f>
        <v>Calc (Market Planning Case)</v>
      </c>
      <c r="B174" s="104" t="s">
        <v>24</v>
      </c>
      <c r="C174" s="35" t="s">
        <v>11</v>
      </c>
      <c r="D174" s="80">
        <f t="shared" ca="1" si="33"/>
        <v>0.39</v>
      </c>
      <c r="E174" s="80">
        <f t="shared" ca="1" si="33"/>
        <v>0.39</v>
      </c>
      <c r="F174" s="80">
        <f t="shared" ca="1" si="33"/>
        <v>0.38</v>
      </c>
      <c r="G174" s="80">
        <f t="shared" ca="1" si="33"/>
        <v>0.38</v>
      </c>
      <c r="H174" s="80">
        <f t="shared" ca="1" si="33"/>
        <v>0.38</v>
      </c>
    </row>
    <row r="175" spans="1:9" s="35" customFormat="1" x14ac:dyDescent="0.3">
      <c r="A175" s="35" t="str">
        <f ca="1">'Calc (Market Slow Rate)'!$B$2</f>
        <v>Calc (Market Slow Rate)</v>
      </c>
      <c r="B175" s="104" t="s">
        <v>24</v>
      </c>
      <c r="C175" s="35" t="s">
        <v>11</v>
      </c>
      <c r="D175" s="80">
        <f t="shared" ca="1" si="33"/>
        <v>0.39</v>
      </c>
      <c r="E175" s="80">
        <f t="shared" ca="1" si="33"/>
        <v>0.39</v>
      </c>
      <c r="F175" s="80">
        <f t="shared" ca="1" si="33"/>
        <v>0.38</v>
      </c>
      <c r="G175" s="80">
        <f t="shared" ca="1" si="33"/>
        <v>0.38</v>
      </c>
      <c r="H175" s="80">
        <f t="shared" ca="1" si="33"/>
        <v>0.38</v>
      </c>
    </row>
    <row r="176" spans="1:9" s="35" customFormat="1" x14ac:dyDescent="0.3">
      <c r="A176" s="38" t="str">
        <f>Dist4</f>
        <v>United</v>
      </c>
      <c r="D176" s="39"/>
      <c r="E176" s="39"/>
      <c r="F176" s="39"/>
      <c r="G176" s="39"/>
      <c r="H176" s="39"/>
    </row>
    <row r="177" spans="1:9" s="35" customFormat="1" x14ac:dyDescent="0.3">
      <c r="A177" s="35" t="str">
        <f ca="1">'Calc (Jurisdiction)'!$B$2</f>
        <v>Calc (Jurisdiction)</v>
      </c>
      <c r="B177" s="104" t="s">
        <v>24</v>
      </c>
      <c r="C177" s="35" t="s">
        <v>11</v>
      </c>
      <c r="D177" s="80">
        <f t="shared" ref="D177:H181" ca="1" si="34">IF(LEFT($A$157,5)="blank",0,IF(LEFT($A$176,5)="blank",0,IF(LEFT($A177,5)="blank",0,D$392+VLOOKUP($A177,dist4scheme1,COLUMN(D177),FALSE))))</f>
        <v>0.39</v>
      </c>
      <c r="E177" s="106">
        <f t="shared" ca="1" si="34"/>
        <v>0.39</v>
      </c>
      <c r="F177" s="106">
        <f t="shared" ca="1" si="34"/>
        <v>0.38</v>
      </c>
      <c r="G177" s="106">
        <f t="shared" ca="1" si="34"/>
        <v>0.38</v>
      </c>
      <c r="H177" s="106">
        <f t="shared" ca="1" si="34"/>
        <v>0.38</v>
      </c>
    </row>
    <row r="178" spans="1:9" s="35" customFormat="1" x14ac:dyDescent="0.3">
      <c r="A178" s="35" t="str">
        <f ca="1">'Calc (LRMC Planning case)'!$B$2</f>
        <v>Calc (LRMC Planning case)</v>
      </c>
      <c r="B178" s="104" t="s">
        <v>24</v>
      </c>
      <c r="C178" s="35" t="s">
        <v>11</v>
      </c>
      <c r="D178" s="106">
        <f t="shared" ca="1" si="34"/>
        <v>0.39</v>
      </c>
      <c r="E178" s="106">
        <f t="shared" ca="1" si="34"/>
        <v>0.39</v>
      </c>
      <c r="F178" s="106">
        <f t="shared" ca="1" si="34"/>
        <v>0.38</v>
      </c>
      <c r="G178" s="106">
        <f t="shared" ca="1" si="34"/>
        <v>0.38</v>
      </c>
      <c r="H178" s="106">
        <f t="shared" ca="1" si="34"/>
        <v>0.38</v>
      </c>
    </row>
    <row r="179" spans="1:9" s="35" customFormat="1" x14ac:dyDescent="0.3">
      <c r="A179" s="35" t="str">
        <f ca="1">'Calc (LRMC Slow Rate)'!$B$2</f>
        <v>Calc (LRMC Slow Rate)</v>
      </c>
      <c r="B179" s="104" t="s">
        <v>24</v>
      </c>
      <c r="C179" s="35" t="s">
        <v>11</v>
      </c>
      <c r="D179" s="106">
        <f t="shared" ca="1" si="34"/>
        <v>0.39</v>
      </c>
      <c r="E179" s="106">
        <f t="shared" ca="1" si="34"/>
        <v>0.39</v>
      </c>
      <c r="F179" s="106">
        <f t="shared" ca="1" si="34"/>
        <v>0.38</v>
      </c>
      <c r="G179" s="106">
        <f t="shared" ca="1" si="34"/>
        <v>0.38</v>
      </c>
      <c r="H179" s="106">
        <f t="shared" ca="1" si="34"/>
        <v>0.38</v>
      </c>
    </row>
    <row r="180" spans="1:9" s="35" customFormat="1" x14ac:dyDescent="0.3">
      <c r="A180" s="35" t="str">
        <f ca="1">'Calc (Market Planning Case)'!$B$2</f>
        <v>Calc (Market Planning Case)</v>
      </c>
      <c r="B180" s="104" t="s">
        <v>24</v>
      </c>
      <c r="C180" s="35" t="s">
        <v>11</v>
      </c>
      <c r="D180" s="106">
        <f t="shared" ca="1" si="34"/>
        <v>0.39</v>
      </c>
      <c r="E180" s="106">
        <f t="shared" ca="1" si="34"/>
        <v>0.39</v>
      </c>
      <c r="F180" s="106">
        <f t="shared" ca="1" si="34"/>
        <v>0.38</v>
      </c>
      <c r="G180" s="106">
        <f t="shared" ca="1" si="34"/>
        <v>0.38</v>
      </c>
      <c r="H180" s="106">
        <f t="shared" ca="1" si="34"/>
        <v>0.38</v>
      </c>
    </row>
    <row r="181" spans="1:9" s="35" customFormat="1" x14ac:dyDescent="0.3">
      <c r="A181" s="35" t="str">
        <f ca="1">'Calc (Market Slow Rate)'!$B$2</f>
        <v>Calc (Market Slow Rate)</v>
      </c>
      <c r="B181" s="104" t="s">
        <v>24</v>
      </c>
      <c r="C181" s="35" t="s">
        <v>11</v>
      </c>
      <c r="D181" s="106">
        <f t="shared" ca="1" si="34"/>
        <v>0.39</v>
      </c>
      <c r="E181" s="106">
        <f t="shared" ca="1" si="34"/>
        <v>0.39</v>
      </c>
      <c r="F181" s="106">
        <f t="shared" ca="1" si="34"/>
        <v>0.38</v>
      </c>
      <c r="G181" s="106">
        <f t="shared" ca="1" si="34"/>
        <v>0.38</v>
      </c>
      <c r="H181" s="106">
        <f t="shared" ca="1" si="34"/>
        <v>0.38</v>
      </c>
    </row>
    <row r="182" spans="1:9" s="35" customFormat="1" x14ac:dyDescent="0.3">
      <c r="A182" s="38" t="str">
        <f>Dist5</f>
        <v>Jemena</v>
      </c>
      <c r="D182" s="39"/>
      <c r="E182" s="39"/>
      <c r="F182" s="39"/>
      <c r="G182" s="39"/>
      <c r="H182" s="39"/>
    </row>
    <row r="183" spans="1:9" s="35" customFormat="1" x14ac:dyDescent="0.3">
      <c r="A183" s="35" t="str">
        <f ca="1">'Calc (Jurisdiction)'!$B$2</f>
        <v>Calc (Jurisdiction)</v>
      </c>
      <c r="B183" s="104" t="s">
        <v>24</v>
      </c>
      <c r="C183" s="35" t="s">
        <v>11</v>
      </c>
      <c r="D183" s="80">
        <f t="shared" ref="D183:H187" ca="1" si="35">IF(LEFT($A$157,5)="blank",0,IF(LEFT($A$182,5)="blank",0,IF(LEFT($A183,5)="blank",0,D$403+VLOOKUP($A183,dist5scheme1,COLUMN(D183),FALSE))))</f>
        <v>0.39</v>
      </c>
      <c r="E183" s="80">
        <f t="shared" ca="1" si="35"/>
        <v>0.39</v>
      </c>
      <c r="F183" s="80">
        <f t="shared" ca="1" si="35"/>
        <v>0.38</v>
      </c>
      <c r="G183" s="80">
        <f t="shared" ca="1" si="35"/>
        <v>0.38</v>
      </c>
      <c r="H183" s="80">
        <f t="shared" ca="1" si="35"/>
        <v>0.38</v>
      </c>
    </row>
    <row r="184" spans="1:9" s="35" customFormat="1" x14ac:dyDescent="0.3">
      <c r="A184" s="35" t="str">
        <f ca="1">'Calc (LRMC Planning case)'!$B$2</f>
        <v>Calc (LRMC Planning case)</v>
      </c>
      <c r="B184" s="104" t="s">
        <v>24</v>
      </c>
      <c r="C184" s="35" t="s">
        <v>11</v>
      </c>
      <c r="D184" s="80">
        <f t="shared" ca="1" si="35"/>
        <v>0.39</v>
      </c>
      <c r="E184" s="80">
        <f t="shared" ca="1" si="35"/>
        <v>0.39</v>
      </c>
      <c r="F184" s="80">
        <f t="shared" ca="1" si="35"/>
        <v>0.38</v>
      </c>
      <c r="G184" s="80">
        <f t="shared" ca="1" si="35"/>
        <v>0.38</v>
      </c>
      <c r="H184" s="80">
        <f t="shared" ca="1" si="35"/>
        <v>0.38</v>
      </c>
    </row>
    <row r="185" spans="1:9" s="35" customFormat="1" x14ac:dyDescent="0.3">
      <c r="A185" s="35" t="str">
        <f ca="1">'Calc (LRMC Slow Rate)'!$B$2</f>
        <v>Calc (LRMC Slow Rate)</v>
      </c>
      <c r="B185" s="104" t="s">
        <v>24</v>
      </c>
      <c r="C185" s="35" t="s">
        <v>11</v>
      </c>
      <c r="D185" s="80">
        <f t="shared" ca="1" si="35"/>
        <v>0.39</v>
      </c>
      <c r="E185" s="80">
        <f t="shared" ca="1" si="35"/>
        <v>0.39</v>
      </c>
      <c r="F185" s="80">
        <f t="shared" ca="1" si="35"/>
        <v>0.38</v>
      </c>
      <c r="G185" s="80">
        <f t="shared" ca="1" si="35"/>
        <v>0.38</v>
      </c>
      <c r="H185" s="80">
        <f t="shared" ca="1" si="35"/>
        <v>0.38</v>
      </c>
    </row>
    <row r="186" spans="1:9" s="35" customFormat="1" x14ac:dyDescent="0.3">
      <c r="A186" s="35" t="str">
        <f ca="1">'Calc (Market Planning Case)'!$B$2</f>
        <v>Calc (Market Planning Case)</v>
      </c>
      <c r="B186" s="104" t="s">
        <v>24</v>
      </c>
      <c r="C186" s="35" t="s">
        <v>11</v>
      </c>
      <c r="D186" s="80">
        <f t="shared" ca="1" si="35"/>
        <v>0.39</v>
      </c>
      <c r="E186" s="80">
        <f t="shared" ca="1" si="35"/>
        <v>0.39</v>
      </c>
      <c r="F186" s="80">
        <f t="shared" ca="1" si="35"/>
        <v>0.38</v>
      </c>
      <c r="G186" s="80">
        <f t="shared" ca="1" si="35"/>
        <v>0.38</v>
      </c>
      <c r="H186" s="80">
        <f t="shared" ca="1" si="35"/>
        <v>0.38</v>
      </c>
    </row>
    <row r="187" spans="1:9" s="35" customFormat="1" x14ac:dyDescent="0.3">
      <c r="A187" s="35" t="str">
        <f ca="1">'Calc (Market Slow Rate)'!$B$2</f>
        <v>Calc (Market Slow Rate)</v>
      </c>
      <c r="B187" s="104" t="s">
        <v>24</v>
      </c>
      <c r="C187" s="35" t="s">
        <v>11</v>
      </c>
      <c r="D187" s="80">
        <f t="shared" ca="1" si="35"/>
        <v>0.39</v>
      </c>
      <c r="E187" s="80">
        <f t="shared" ca="1" si="35"/>
        <v>0.39</v>
      </c>
      <c r="F187" s="80">
        <f t="shared" ca="1" si="35"/>
        <v>0.38</v>
      </c>
      <c r="G187" s="80">
        <f t="shared" ca="1" si="35"/>
        <v>0.38</v>
      </c>
      <c r="H187" s="80">
        <f t="shared" ca="1" si="35"/>
        <v>0.38</v>
      </c>
    </row>
    <row r="188" spans="1:9" s="35" customFormat="1" x14ac:dyDescent="0.3">
      <c r="A188" s="21"/>
      <c r="D188" s="39"/>
      <c r="E188" s="39"/>
      <c r="F188" s="39"/>
      <c r="G188" s="39"/>
      <c r="H188" s="39"/>
    </row>
    <row r="189" spans="1:9" s="35" customFormat="1" x14ac:dyDescent="0.3">
      <c r="A189" s="21" t="str">
        <f>Scheme2</f>
        <v>blank</v>
      </c>
      <c r="D189" s="39"/>
      <c r="E189" s="39"/>
      <c r="F189" s="39"/>
      <c r="G189" s="39"/>
      <c r="H189" s="39"/>
    </row>
    <row r="190" spans="1:9" s="35" customFormat="1" x14ac:dyDescent="0.3">
      <c r="A190" s="38" t="str">
        <f>Dist1</f>
        <v>Citipower</v>
      </c>
      <c r="D190" s="39"/>
      <c r="E190" s="39"/>
      <c r="F190" s="39"/>
      <c r="G190" s="39"/>
      <c r="H190" s="39"/>
    </row>
    <row r="191" spans="1:9" s="35" customFormat="1" x14ac:dyDescent="0.3">
      <c r="A191" s="35" t="str">
        <f ca="1">'Calc (Jurisdiction)'!$B$2</f>
        <v>Calc (Jurisdiction)</v>
      </c>
      <c r="B191" s="104" t="s">
        <v>24</v>
      </c>
      <c r="C191" s="35" t="s">
        <v>11</v>
      </c>
      <c r="D191" s="80">
        <f t="shared" ref="D191:H195" si="36">IF(LEFT($A$189,5)="blank",0,IF(LEFT($A191,5)="blank",0,D$360+VLOOKUP($A191,dist1scheme2,COLUMN(D159),FALSE)))</f>
        <v>0</v>
      </c>
      <c r="E191" s="80">
        <f t="shared" si="36"/>
        <v>0</v>
      </c>
      <c r="F191" s="80">
        <f t="shared" si="36"/>
        <v>0</v>
      </c>
      <c r="G191" s="80">
        <f t="shared" si="36"/>
        <v>0</v>
      </c>
      <c r="H191" s="80">
        <f t="shared" si="36"/>
        <v>0</v>
      </c>
      <c r="I191" s="41"/>
    </row>
    <row r="192" spans="1:9" s="35" customFormat="1" x14ac:dyDescent="0.3">
      <c r="A192" s="35" t="str">
        <f ca="1">'Calc (LRMC Planning case)'!$B$2</f>
        <v>Calc (LRMC Planning case)</v>
      </c>
      <c r="B192" s="104" t="s">
        <v>24</v>
      </c>
      <c r="C192" s="35" t="s">
        <v>11</v>
      </c>
      <c r="D192" s="80">
        <f t="shared" si="36"/>
        <v>0</v>
      </c>
      <c r="E192" s="80">
        <f t="shared" si="36"/>
        <v>0</v>
      </c>
      <c r="F192" s="80">
        <f t="shared" si="36"/>
        <v>0</v>
      </c>
      <c r="G192" s="80">
        <f t="shared" si="36"/>
        <v>0</v>
      </c>
      <c r="H192" s="80">
        <f t="shared" si="36"/>
        <v>0</v>
      </c>
      <c r="I192" s="41"/>
    </row>
    <row r="193" spans="1:9" s="35" customFormat="1" x14ac:dyDescent="0.3">
      <c r="A193" s="35" t="str">
        <f ca="1">'Calc (LRMC Slow Rate)'!$B$2</f>
        <v>Calc (LRMC Slow Rate)</v>
      </c>
      <c r="B193" s="104" t="s">
        <v>24</v>
      </c>
      <c r="C193" s="35" t="s">
        <v>11</v>
      </c>
      <c r="D193" s="80">
        <f t="shared" si="36"/>
        <v>0</v>
      </c>
      <c r="E193" s="80">
        <f t="shared" si="36"/>
        <v>0</v>
      </c>
      <c r="F193" s="80">
        <f t="shared" si="36"/>
        <v>0</v>
      </c>
      <c r="G193" s="80">
        <f t="shared" si="36"/>
        <v>0</v>
      </c>
      <c r="H193" s="80">
        <f t="shared" si="36"/>
        <v>0</v>
      </c>
      <c r="I193" s="41"/>
    </row>
    <row r="194" spans="1:9" s="35" customFormat="1" x14ac:dyDescent="0.3">
      <c r="A194" s="35" t="str">
        <f ca="1">'Calc (Market Planning Case)'!$B$2</f>
        <v>Calc (Market Planning Case)</v>
      </c>
      <c r="B194" s="104" t="s">
        <v>24</v>
      </c>
      <c r="C194" s="35" t="s">
        <v>11</v>
      </c>
      <c r="D194" s="80">
        <f t="shared" si="36"/>
        <v>0</v>
      </c>
      <c r="E194" s="80">
        <f t="shared" si="36"/>
        <v>0</v>
      </c>
      <c r="F194" s="80">
        <f t="shared" si="36"/>
        <v>0</v>
      </c>
      <c r="G194" s="80">
        <f t="shared" si="36"/>
        <v>0</v>
      </c>
      <c r="H194" s="80">
        <f t="shared" si="36"/>
        <v>0</v>
      </c>
      <c r="I194" s="41"/>
    </row>
    <row r="195" spans="1:9" s="35" customFormat="1" x14ac:dyDescent="0.3">
      <c r="A195" s="35" t="str">
        <f ca="1">'Calc (Market Slow Rate)'!$B$2</f>
        <v>Calc (Market Slow Rate)</v>
      </c>
      <c r="B195" s="104" t="s">
        <v>24</v>
      </c>
      <c r="C195" s="35" t="s">
        <v>11</v>
      </c>
      <c r="D195" s="80">
        <f t="shared" si="36"/>
        <v>0</v>
      </c>
      <c r="E195" s="80">
        <f t="shared" si="36"/>
        <v>0</v>
      </c>
      <c r="F195" s="80">
        <f t="shared" si="36"/>
        <v>0</v>
      </c>
      <c r="G195" s="80">
        <f t="shared" si="36"/>
        <v>0</v>
      </c>
      <c r="H195" s="80">
        <f t="shared" si="36"/>
        <v>0</v>
      </c>
      <c r="I195" s="41"/>
    </row>
    <row r="196" spans="1:9" s="35" customFormat="1" x14ac:dyDescent="0.3">
      <c r="A196" s="38" t="str">
        <f>Dist2</f>
        <v>Powercor</v>
      </c>
      <c r="D196" s="74"/>
      <c r="E196" s="74"/>
      <c r="F196" s="74"/>
      <c r="G196" s="74"/>
      <c r="H196" s="74"/>
      <c r="I196" s="43"/>
    </row>
    <row r="197" spans="1:9" s="35" customFormat="1" x14ac:dyDescent="0.3">
      <c r="A197" s="35" t="str">
        <f ca="1">'Calc (Jurisdiction)'!$B$2</f>
        <v>Calc (Jurisdiction)</v>
      </c>
      <c r="B197" s="104" t="s">
        <v>24</v>
      </c>
      <c r="C197" s="35" t="s">
        <v>11</v>
      </c>
      <c r="D197" s="80">
        <f t="shared" ref="D197:H201" si="37">IF(LEFT($A$189,5)="blank",0,IF(LEFT($A197,5)="blank",0,D$371+VLOOKUP($A197,dist2scheme2,COLUMN(D165),FALSE)))</f>
        <v>0</v>
      </c>
      <c r="E197" s="80">
        <f t="shared" si="37"/>
        <v>0</v>
      </c>
      <c r="F197" s="80">
        <f t="shared" si="37"/>
        <v>0</v>
      </c>
      <c r="G197" s="80">
        <f t="shared" si="37"/>
        <v>0</v>
      </c>
      <c r="H197" s="80">
        <f t="shared" si="37"/>
        <v>0</v>
      </c>
    </row>
    <row r="198" spans="1:9" s="35" customFormat="1" x14ac:dyDescent="0.3">
      <c r="A198" s="35" t="str">
        <f ca="1">'Calc (LRMC Planning case)'!$B$2</f>
        <v>Calc (LRMC Planning case)</v>
      </c>
      <c r="B198" s="104" t="s">
        <v>24</v>
      </c>
      <c r="C198" s="35" t="s">
        <v>11</v>
      </c>
      <c r="D198" s="106">
        <f t="shared" si="37"/>
        <v>0</v>
      </c>
      <c r="E198" s="106">
        <f t="shared" si="37"/>
        <v>0</v>
      </c>
      <c r="F198" s="106">
        <f t="shared" si="37"/>
        <v>0</v>
      </c>
      <c r="G198" s="106">
        <f t="shared" si="37"/>
        <v>0</v>
      </c>
      <c r="H198" s="106">
        <f t="shared" si="37"/>
        <v>0</v>
      </c>
    </row>
    <row r="199" spans="1:9" s="35" customFormat="1" x14ac:dyDescent="0.3">
      <c r="A199" s="35" t="str">
        <f ca="1">'Calc (LRMC Slow Rate)'!$B$2</f>
        <v>Calc (LRMC Slow Rate)</v>
      </c>
      <c r="B199" s="104" t="s">
        <v>24</v>
      </c>
      <c r="C199" s="35" t="s">
        <v>11</v>
      </c>
      <c r="D199" s="106">
        <f t="shared" si="37"/>
        <v>0</v>
      </c>
      <c r="E199" s="106">
        <f t="shared" si="37"/>
        <v>0</v>
      </c>
      <c r="F199" s="106">
        <f t="shared" si="37"/>
        <v>0</v>
      </c>
      <c r="G199" s="106">
        <f t="shared" si="37"/>
        <v>0</v>
      </c>
      <c r="H199" s="106">
        <f t="shared" si="37"/>
        <v>0</v>
      </c>
    </row>
    <row r="200" spans="1:9" s="35" customFormat="1" x14ac:dyDescent="0.3">
      <c r="A200" s="35" t="str">
        <f ca="1">'Calc (Market Planning Case)'!$B$2</f>
        <v>Calc (Market Planning Case)</v>
      </c>
      <c r="B200" s="104" t="s">
        <v>24</v>
      </c>
      <c r="C200" s="35" t="s">
        <v>11</v>
      </c>
      <c r="D200" s="106">
        <f t="shared" si="37"/>
        <v>0</v>
      </c>
      <c r="E200" s="106">
        <f t="shared" si="37"/>
        <v>0</v>
      </c>
      <c r="F200" s="106">
        <f t="shared" si="37"/>
        <v>0</v>
      </c>
      <c r="G200" s="106">
        <f t="shared" si="37"/>
        <v>0</v>
      </c>
      <c r="H200" s="106">
        <f t="shared" si="37"/>
        <v>0</v>
      </c>
    </row>
    <row r="201" spans="1:9" s="35" customFormat="1" x14ac:dyDescent="0.3">
      <c r="A201" s="35" t="str">
        <f ca="1">'Calc (Market Slow Rate)'!$B$2</f>
        <v>Calc (Market Slow Rate)</v>
      </c>
      <c r="B201" s="104" t="s">
        <v>24</v>
      </c>
      <c r="C201" s="35" t="s">
        <v>11</v>
      </c>
      <c r="D201" s="106">
        <f t="shared" si="37"/>
        <v>0</v>
      </c>
      <c r="E201" s="106">
        <f t="shared" si="37"/>
        <v>0</v>
      </c>
      <c r="F201" s="106">
        <f t="shared" si="37"/>
        <v>0</v>
      </c>
      <c r="G201" s="106">
        <f t="shared" si="37"/>
        <v>0</v>
      </c>
      <c r="H201" s="106">
        <f t="shared" si="37"/>
        <v>0</v>
      </c>
    </row>
    <row r="202" spans="1:9" s="35" customFormat="1" x14ac:dyDescent="0.3">
      <c r="A202" s="38" t="str">
        <f>Dist3</f>
        <v>SP Ausnet</v>
      </c>
      <c r="D202" s="39"/>
      <c r="E202" s="39"/>
      <c r="F202" s="39"/>
      <c r="G202" s="39"/>
      <c r="H202" s="39"/>
    </row>
    <row r="203" spans="1:9" s="35" customFormat="1" x14ac:dyDescent="0.3">
      <c r="A203" s="35" t="str">
        <f ca="1">'Calc (Jurisdiction)'!$B$2</f>
        <v>Calc (Jurisdiction)</v>
      </c>
      <c r="B203" s="104" t="s">
        <v>24</v>
      </c>
      <c r="C203" s="35" t="s">
        <v>11</v>
      </c>
      <c r="D203" s="80">
        <f t="shared" ref="D203:H207" si="38">IF(LEFT($A$189,5)="blank",0,IF(LEFT($A203,5)="blank",0,D$382+VLOOKUP($A203,dist3scheme2,COLUMN(D171),FALSE)))</f>
        <v>0</v>
      </c>
      <c r="E203" s="80">
        <f t="shared" si="38"/>
        <v>0</v>
      </c>
      <c r="F203" s="80">
        <f t="shared" si="38"/>
        <v>0</v>
      </c>
      <c r="G203" s="80">
        <f t="shared" si="38"/>
        <v>0</v>
      </c>
      <c r="H203" s="80">
        <f t="shared" si="38"/>
        <v>0</v>
      </c>
    </row>
    <row r="204" spans="1:9" s="35" customFormat="1" x14ac:dyDescent="0.3">
      <c r="A204" s="35" t="str">
        <f ca="1">'Calc (LRMC Planning case)'!$B$2</f>
        <v>Calc (LRMC Planning case)</v>
      </c>
      <c r="B204" s="104" t="s">
        <v>24</v>
      </c>
      <c r="C204" s="35" t="s">
        <v>11</v>
      </c>
      <c r="D204" s="80">
        <f t="shared" si="38"/>
        <v>0</v>
      </c>
      <c r="E204" s="80">
        <f t="shared" si="38"/>
        <v>0</v>
      </c>
      <c r="F204" s="80">
        <f t="shared" si="38"/>
        <v>0</v>
      </c>
      <c r="G204" s="80">
        <f t="shared" si="38"/>
        <v>0</v>
      </c>
      <c r="H204" s="80">
        <f t="shared" si="38"/>
        <v>0</v>
      </c>
    </row>
    <row r="205" spans="1:9" s="35" customFormat="1" x14ac:dyDescent="0.3">
      <c r="A205" s="35" t="str">
        <f ca="1">'Calc (LRMC Slow Rate)'!$B$2</f>
        <v>Calc (LRMC Slow Rate)</v>
      </c>
      <c r="B205" s="104" t="s">
        <v>24</v>
      </c>
      <c r="C205" s="35" t="s">
        <v>11</v>
      </c>
      <c r="D205" s="80">
        <f t="shared" si="38"/>
        <v>0</v>
      </c>
      <c r="E205" s="80">
        <f t="shared" si="38"/>
        <v>0</v>
      </c>
      <c r="F205" s="80">
        <f t="shared" si="38"/>
        <v>0</v>
      </c>
      <c r="G205" s="80">
        <f t="shared" si="38"/>
        <v>0</v>
      </c>
      <c r="H205" s="80">
        <f t="shared" si="38"/>
        <v>0</v>
      </c>
    </row>
    <row r="206" spans="1:9" s="35" customFormat="1" x14ac:dyDescent="0.3">
      <c r="A206" s="35" t="str">
        <f ca="1">'Calc (Market Planning Case)'!$B$2</f>
        <v>Calc (Market Planning Case)</v>
      </c>
      <c r="B206" s="104" t="s">
        <v>24</v>
      </c>
      <c r="C206" s="35" t="s">
        <v>11</v>
      </c>
      <c r="D206" s="80">
        <f t="shared" si="38"/>
        <v>0</v>
      </c>
      <c r="E206" s="80">
        <f t="shared" si="38"/>
        <v>0</v>
      </c>
      <c r="F206" s="80">
        <f t="shared" si="38"/>
        <v>0</v>
      </c>
      <c r="G206" s="80">
        <f t="shared" si="38"/>
        <v>0</v>
      </c>
      <c r="H206" s="80">
        <f t="shared" si="38"/>
        <v>0</v>
      </c>
    </row>
    <row r="207" spans="1:9" s="35" customFormat="1" x14ac:dyDescent="0.3">
      <c r="A207" s="35" t="str">
        <f ca="1">'Calc (Market Slow Rate)'!$B$2</f>
        <v>Calc (Market Slow Rate)</v>
      </c>
      <c r="B207" s="104" t="s">
        <v>24</v>
      </c>
      <c r="C207" s="35" t="s">
        <v>11</v>
      </c>
      <c r="D207" s="80">
        <f t="shared" si="38"/>
        <v>0</v>
      </c>
      <c r="E207" s="80">
        <f t="shared" si="38"/>
        <v>0</v>
      </c>
      <c r="F207" s="80">
        <f t="shared" si="38"/>
        <v>0</v>
      </c>
      <c r="G207" s="80">
        <f t="shared" si="38"/>
        <v>0</v>
      </c>
      <c r="H207" s="80">
        <f t="shared" si="38"/>
        <v>0</v>
      </c>
    </row>
    <row r="208" spans="1:9" s="35" customFormat="1" x14ac:dyDescent="0.3">
      <c r="A208" s="38" t="str">
        <f>Dist4</f>
        <v>United</v>
      </c>
      <c r="D208" s="39"/>
      <c r="E208" s="39"/>
      <c r="F208" s="39"/>
      <c r="G208" s="39"/>
      <c r="H208" s="39"/>
    </row>
    <row r="209" spans="1:9" s="35" customFormat="1" x14ac:dyDescent="0.3">
      <c r="A209" s="35" t="str">
        <f ca="1">'Calc (Jurisdiction)'!$B$2</f>
        <v>Calc (Jurisdiction)</v>
      </c>
      <c r="B209" s="104" t="s">
        <v>24</v>
      </c>
      <c r="C209" s="35" t="s">
        <v>11</v>
      </c>
      <c r="D209" s="80">
        <f t="shared" ref="D209:H213" si="39">IF(LEFT($A$189,5)="blank",0,IF(LEFT($A209,5)="blank",0,D$393+VLOOKUP($A209,dist4scheme2,COLUMN(D177),FALSE)))</f>
        <v>0</v>
      </c>
      <c r="E209" s="80">
        <f t="shared" si="39"/>
        <v>0</v>
      </c>
      <c r="F209" s="80">
        <f t="shared" si="39"/>
        <v>0</v>
      </c>
      <c r="G209" s="80">
        <f t="shared" si="39"/>
        <v>0</v>
      </c>
      <c r="H209" s="80">
        <f t="shared" si="39"/>
        <v>0</v>
      </c>
    </row>
    <row r="210" spans="1:9" s="35" customFormat="1" x14ac:dyDescent="0.3">
      <c r="A210" s="35" t="str">
        <f ca="1">'Calc (LRMC Planning case)'!$B$2</f>
        <v>Calc (LRMC Planning case)</v>
      </c>
      <c r="B210" s="104" t="s">
        <v>24</v>
      </c>
      <c r="C210" s="35" t="s">
        <v>11</v>
      </c>
      <c r="D210" s="80">
        <f t="shared" si="39"/>
        <v>0</v>
      </c>
      <c r="E210" s="80">
        <f t="shared" si="39"/>
        <v>0</v>
      </c>
      <c r="F210" s="80">
        <f t="shared" si="39"/>
        <v>0</v>
      </c>
      <c r="G210" s="80">
        <f t="shared" si="39"/>
        <v>0</v>
      </c>
      <c r="H210" s="80">
        <f t="shared" si="39"/>
        <v>0</v>
      </c>
    </row>
    <row r="211" spans="1:9" s="35" customFormat="1" x14ac:dyDescent="0.3">
      <c r="A211" s="35" t="str">
        <f ca="1">'Calc (LRMC Slow Rate)'!$B$2</f>
        <v>Calc (LRMC Slow Rate)</v>
      </c>
      <c r="B211" s="104" t="s">
        <v>24</v>
      </c>
      <c r="C211" s="35" t="s">
        <v>11</v>
      </c>
      <c r="D211" s="80">
        <f t="shared" si="39"/>
        <v>0</v>
      </c>
      <c r="E211" s="80">
        <f t="shared" si="39"/>
        <v>0</v>
      </c>
      <c r="F211" s="80">
        <f t="shared" si="39"/>
        <v>0</v>
      </c>
      <c r="G211" s="80">
        <f t="shared" si="39"/>
        <v>0</v>
      </c>
      <c r="H211" s="80">
        <f t="shared" si="39"/>
        <v>0</v>
      </c>
    </row>
    <row r="212" spans="1:9" s="35" customFormat="1" x14ac:dyDescent="0.3">
      <c r="A212" s="35" t="str">
        <f ca="1">'Calc (Market Planning Case)'!$B$2</f>
        <v>Calc (Market Planning Case)</v>
      </c>
      <c r="B212" s="104" t="s">
        <v>24</v>
      </c>
      <c r="C212" s="35" t="s">
        <v>11</v>
      </c>
      <c r="D212" s="80">
        <f t="shared" si="39"/>
        <v>0</v>
      </c>
      <c r="E212" s="80">
        <f t="shared" si="39"/>
        <v>0</v>
      </c>
      <c r="F212" s="80">
        <f t="shared" si="39"/>
        <v>0</v>
      </c>
      <c r="G212" s="80">
        <f t="shared" si="39"/>
        <v>0</v>
      </c>
      <c r="H212" s="80">
        <f t="shared" si="39"/>
        <v>0</v>
      </c>
    </row>
    <row r="213" spans="1:9" s="35" customFormat="1" x14ac:dyDescent="0.3">
      <c r="A213" s="35" t="str">
        <f ca="1">'Calc (Market Slow Rate)'!$B$2</f>
        <v>Calc (Market Slow Rate)</v>
      </c>
      <c r="B213" s="104" t="s">
        <v>24</v>
      </c>
      <c r="C213" s="35" t="s">
        <v>11</v>
      </c>
      <c r="D213" s="80">
        <f t="shared" si="39"/>
        <v>0</v>
      </c>
      <c r="E213" s="80">
        <f t="shared" si="39"/>
        <v>0</v>
      </c>
      <c r="F213" s="80">
        <f t="shared" si="39"/>
        <v>0</v>
      </c>
      <c r="G213" s="80">
        <f t="shared" si="39"/>
        <v>0</v>
      </c>
      <c r="H213" s="80">
        <f t="shared" si="39"/>
        <v>0</v>
      </c>
    </row>
    <row r="214" spans="1:9" s="35" customFormat="1" x14ac:dyDescent="0.3">
      <c r="A214" s="38" t="str">
        <f>Dist5</f>
        <v>Jemena</v>
      </c>
      <c r="D214" s="39"/>
      <c r="E214" s="39"/>
      <c r="F214" s="39"/>
      <c r="G214" s="39"/>
      <c r="H214" s="39"/>
    </row>
    <row r="215" spans="1:9" s="35" customFormat="1" x14ac:dyDescent="0.3">
      <c r="A215" s="35" t="str">
        <f ca="1">'Calc (Jurisdiction)'!$B$2</f>
        <v>Calc (Jurisdiction)</v>
      </c>
      <c r="B215" s="104" t="s">
        <v>24</v>
      </c>
      <c r="C215" s="35" t="s">
        <v>11</v>
      </c>
      <c r="D215" s="80">
        <f t="shared" ref="D215:H219" si="40">IF(LEFT($A$189,5)="blank",0,IF(LEFT($A215,5)="blank",0,D$404+VLOOKUP($A215,dist5scheme2,COLUMN(D183),FALSE)))</f>
        <v>0</v>
      </c>
      <c r="E215" s="80">
        <f t="shared" si="40"/>
        <v>0</v>
      </c>
      <c r="F215" s="80">
        <f t="shared" si="40"/>
        <v>0</v>
      </c>
      <c r="G215" s="80">
        <f t="shared" si="40"/>
        <v>0</v>
      </c>
      <c r="H215" s="80">
        <f t="shared" si="40"/>
        <v>0</v>
      </c>
    </row>
    <row r="216" spans="1:9" s="35" customFormat="1" x14ac:dyDescent="0.3">
      <c r="A216" s="35" t="str">
        <f ca="1">'Calc (LRMC Planning case)'!$B$2</f>
        <v>Calc (LRMC Planning case)</v>
      </c>
      <c r="B216" s="104" t="s">
        <v>24</v>
      </c>
      <c r="C216" s="35" t="s">
        <v>11</v>
      </c>
      <c r="D216" s="80">
        <f t="shared" si="40"/>
        <v>0</v>
      </c>
      <c r="E216" s="80">
        <f t="shared" si="40"/>
        <v>0</v>
      </c>
      <c r="F216" s="80">
        <f t="shared" si="40"/>
        <v>0</v>
      </c>
      <c r="G216" s="80">
        <f t="shared" si="40"/>
        <v>0</v>
      </c>
      <c r="H216" s="80">
        <f t="shared" si="40"/>
        <v>0</v>
      </c>
    </row>
    <row r="217" spans="1:9" s="35" customFormat="1" x14ac:dyDescent="0.3">
      <c r="A217" s="35" t="str">
        <f ca="1">'Calc (LRMC Slow Rate)'!$B$2</f>
        <v>Calc (LRMC Slow Rate)</v>
      </c>
      <c r="B217" s="104" t="s">
        <v>24</v>
      </c>
      <c r="C217" s="35" t="s">
        <v>11</v>
      </c>
      <c r="D217" s="80">
        <f t="shared" si="40"/>
        <v>0</v>
      </c>
      <c r="E217" s="80">
        <f t="shared" si="40"/>
        <v>0</v>
      </c>
      <c r="F217" s="80">
        <f t="shared" si="40"/>
        <v>0</v>
      </c>
      <c r="G217" s="80">
        <f t="shared" si="40"/>
        <v>0</v>
      </c>
      <c r="H217" s="80">
        <f t="shared" si="40"/>
        <v>0</v>
      </c>
    </row>
    <row r="218" spans="1:9" s="35" customFormat="1" x14ac:dyDescent="0.3">
      <c r="A218" s="35" t="str">
        <f ca="1">'Calc (Market Planning Case)'!$B$2</f>
        <v>Calc (Market Planning Case)</v>
      </c>
      <c r="B218" s="104" t="s">
        <v>24</v>
      </c>
      <c r="C218" s="35" t="s">
        <v>11</v>
      </c>
      <c r="D218" s="80">
        <f t="shared" si="40"/>
        <v>0</v>
      </c>
      <c r="E218" s="80">
        <f t="shared" si="40"/>
        <v>0</v>
      </c>
      <c r="F218" s="80">
        <f t="shared" si="40"/>
        <v>0</v>
      </c>
      <c r="G218" s="80">
        <f t="shared" si="40"/>
        <v>0</v>
      </c>
      <c r="H218" s="80">
        <f t="shared" si="40"/>
        <v>0</v>
      </c>
    </row>
    <row r="219" spans="1:9" s="35" customFormat="1" x14ac:dyDescent="0.3">
      <c r="A219" s="35" t="str">
        <f ca="1">'Calc (Market Slow Rate)'!$B$2</f>
        <v>Calc (Market Slow Rate)</v>
      </c>
      <c r="B219" s="104" t="s">
        <v>24</v>
      </c>
      <c r="C219" s="35" t="s">
        <v>11</v>
      </c>
      <c r="D219" s="80">
        <f t="shared" si="40"/>
        <v>0</v>
      </c>
      <c r="E219" s="80">
        <f t="shared" si="40"/>
        <v>0</v>
      </c>
      <c r="F219" s="80">
        <f t="shared" si="40"/>
        <v>0</v>
      </c>
      <c r="G219" s="80">
        <f t="shared" si="40"/>
        <v>0</v>
      </c>
      <c r="H219" s="80">
        <f t="shared" si="40"/>
        <v>0</v>
      </c>
    </row>
    <row r="220" spans="1:9" s="35" customFormat="1" x14ac:dyDescent="0.3">
      <c r="A220" s="21"/>
    </row>
    <row r="221" spans="1:9" s="35" customFormat="1" x14ac:dyDescent="0.3">
      <c r="A221" s="21" t="s">
        <v>77</v>
      </c>
    </row>
    <row r="222" spans="1:9" s="35" customFormat="1" x14ac:dyDescent="0.3">
      <c r="A222" s="38" t="str">
        <f>Dist1</f>
        <v>Citipower</v>
      </c>
      <c r="I222" s="44"/>
    </row>
    <row r="223" spans="1:9" s="35" customFormat="1" x14ac:dyDescent="0.3">
      <c r="A223" s="35" t="str">
        <f ca="1">'Calc (Jurisdiction)'!$B$2</f>
        <v>Calc (Jurisdiction)</v>
      </c>
      <c r="B223" s="104" t="s">
        <v>24</v>
      </c>
      <c r="C223" s="104" t="s">
        <v>124</v>
      </c>
      <c r="D223" s="160">
        <v>35337.876654734835</v>
      </c>
      <c r="E223" s="160">
        <v>80639.499672173639</v>
      </c>
      <c r="F223" s="160">
        <v>85338.212266200353</v>
      </c>
      <c r="G223" s="160">
        <v>84728.201817135501</v>
      </c>
      <c r="H223" s="160">
        <v>90462.011164914773</v>
      </c>
      <c r="I223" s="45"/>
    </row>
    <row r="224" spans="1:9" s="35" customFormat="1" x14ac:dyDescent="0.3">
      <c r="A224" s="35" t="str">
        <f ca="1">'Calc (LRMC Planning case)'!$B$2</f>
        <v>Calc (LRMC Planning case)</v>
      </c>
      <c r="B224" s="104" t="s">
        <v>24</v>
      </c>
      <c r="C224" s="104" t="s">
        <v>124</v>
      </c>
      <c r="D224" s="160">
        <v>35337.876654734835</v>
      </c>
      <c r="E224" s="160">
        <v>80639.499672173639</v>
      </c>
      <c r="F224" s="160">
        <v>85338.212266200353</v>
      </c>
      <c r="G224" s="160">
        <v>87842.279211163695</v>
      </c>
      <c r="H224" s="160">
        <v>93177.15563848184</v>
      </c>
      <c r="I224" s="41"/>
    </row>
    <row r="225" spans="1:10" s="35" customFormat="1" x14ac:dyDescent="0.3">
      <c r="A225" s="35" t="str">
        <f ca="1">'Calc (LRMC Slow Rate)'!$B$2</f>
        <v>Calc (LRMC Slow Rate)</v>
      </c>
      <c r="B225" s="104" t="s">
        <v>24</v>
      </c>
      <c r="C225" s="104" t="s">
        <v>124</v>
      </c>
      <c r="D225" s="160">
        <v>35337.876654734835</v>
      </c>
      <c r="E225" s="160">
        <v>80639.499672173639</v>
      </c>
      <c r="F225" s="160">
        <v>85338.212266200353</v>
      </c>
      <c r="G225" s="160">
        <v>88497.227437295398</v>
      </c>
      <c r="H225" s="160">
        <v>93384.235061522457</v>
      </c>
      <c r="I225" s="41"/>
    </row>
    <row r="226" spans="1:10" s="35" customFormat="1" x14ac:dyDescent="0.3">
      <c r="A226" s="35" t="str">
        <f ca="1">'Calc (Market Planning Case)'!$B$2</f>
        <v>Calc (Market Planning Case)</v>
      </c>
      <c r="B226" s="104" t="s">
        <v>24</v>
      </c>
      <c r="C226" s="104" t="s">
        <v>124</v>
      </c>
      <c r="D226" s="160">
        <v>35337.876654734835</v>
      </c>
      <c r="E226" s="160">
        <v>80639.499672173639</v>
      </c>
      <c r="F226" s="160">
        <v>85338.212266200353</v>
      </c>
      <c r="G226" s="160">
        <v>84728.201817135501</v>
      </c>
      <c r="H226" s="160">
        <v>90462.011164914773</v>
      </c>
      <c r="I226" s="41"/>
    </row>
    <row r="227" spans="1:10" s="35" customFormat="1" x14ac:dyDescent="0.3">
      <c r="A227" s="35" t="str">
        <f ca="1">'Calc (Market Slow Rate)'!$B$2</f>
        <v>Calc (Market Slow Rate)</v>
      </c>
      <c r="B227" s="104" t="s">
        <v>24</v>
      </c>
      <c r="C227" s="104" t="s">
        <v>124</v>
      </c>
      <c r="D227" s="160">
        <v>35337.876654734835</v>
      </c>
      <c r="E227" s="160">
        <v>80639.499672173639</v>
      </c>
      <c r="F227" s="160">
        <v>85338.212266200353</v>
      </c>
      <c r="G227" s="160">
        <v>87218.515250454424</v>
      </c>
      <c r="H227" s="160">
        <v>89583.939831325202</v>
      </c>
      <c r="I227" s="41"/>
    </row>
    <row r="228" spans="1:10" s="35" customFormat="1" x14ac:dyDescent="0.3">
      <c r="A228" s="38" t="str">
        <f>Dist2</f>
        <v>Powercor</v>
      </c>
      <c r="D228" s="75"/>
      <c r="E228" s="75"/>
      <c r="F228" s="75"/>
      <c r="G228" s="75"/>
      <c r="H228" s="75"/>
      <c r="I228" s="43"/>
    </row>
    <row r="229" spans="1:10" s="35" customFormat="1" x14ac:dyDescent="0.3">
      <c r="A229" s="35" t="str">
        <f ca="1">'Calc (Jurisdiction)'!$B$2</f>
        <v>Calc (Jurisdiction)</v>
      </c>
      <c r="B229" s="104" t="s">
        <v>24</v>
      </c>
      <c r="C229" s="104" t="s">
        <v>124</v>
      </c>
      <c r="D229" s="160">
        <v>40085.593530928563</v>
      </c>
      <c r="E229" s="160">
        <v>84268.983270202865</v>
      </c>
      <c r="F229" s="160">
        <v>95090.958011865296</v>
      </c>
      <c r="G229" s="160">
        <v>93967.68445774357</v>
      </c>
      <c r="H229" s="160">
        <v>99243.928109665052</v>
      </c>
      <c r="I229" s="43" t="s">
        <v>92</v>
      </c>
      <c r="J229" s="35" t="s">
        <v>92</v>
      </c>
    </row>
    <row r="230" spans="1:10" s="35" customFormat="1" x14ac:dyDescent="0.3">
      <c r="A230" s="35" t="str">
        <f ca="1">'Calc (LRMC Planning case)'!$B$2</f>
        <v>Calc (LRMC Planning case)</v>
      </c>
      <c r="B230" s="104" t="s">
        <v>24</v>
      </c>
      <c r="C230" s="104" t="s">
        <v>124</v>
      </c>
      <c r="D230" s="160">
        <v>40085.593530928563</v>
      </c>
      <c r="E230" s="160">
        <v>84268.983270202865</v>
      </c>
      <c r="F230" s="160">
        <v>95090.958011865296</v>
      </c>
      <c r="G230" s="160">
        <v>96709.21344965983</v>
      </c>
      <c r="H230" s="160">
        <v>101614.19788960263</v>
      </c>
      <c r="I230" s="43"/>
    </row>
    <row r="231" spans="1:10" s="35" customFormat="1" x14ac:dyDescent="0.3">
      <c r="A231" s="35" t="str">
        <f ca="1">'Calc (LRMC Slow Rate)'!$B$2</f>
        <v>Calc (LRMC Slow Rate)</v>
      </c>
      <c r="B231" s="104" t="s">
        <v>24</v>
      </c>
      <c r="C231" s="104" t="s">
        <v>124</v>
      </c>
      <c r="D231" s="160">
        <v>40085.593530928563</v>
      </c>
      <c r="E231" s="160">
        <v>84268.983270202865</v>
      </c>
      <c r="F231" s="160">
        <v>95090.958011865296</v>
      </c>
      <c r="G231" s="160">
        <v>97283.214670862522</v>
      </c>
      <c r="H231" s="160">
        <v>103638.36595808232</v>
      </c>
      <c r="I231" s="43"/>
    </row>
    <row r="232" spans="1:10" s="35" customFormat="1" x14ac:dyDescent="0.3">
      <c r="A232" s="35" t="str">
        <f ca="1">'Calc (Market Planning Case)'!$B$2</f>
        <v>Calc (Market Planning Case)</v>
      </c>
      <c r="B232" s="104" t="s">
        <v>24</v>
      </c>
      <c r="C232" s="104" t="s">
        <v>124</v>
      </c>
      <c r="D232" s="160">
        <v>40085.593530928563</v>
      </c>
      <c r="E232" s="160">
        <v>84268.983270202865</v>
      </c>
      <c r="F232" s="160">
        <v>95090.958011865296</v>
      </c>
      <c r="G232" s="160">
        <v>93967.68445774357</v>
      </c>
      <c r="H232" s="160">
        <v>99243.928109665052</v>
      </c>
      <c r="I232" s="43"/>
    </row>
    <row r="233" spans="1:10" s="35" customFormat="1" x14ac:dyDescent="0.3">
      <c r="A233" s="35" t="str">
        <f ca="1">'Calc (Market Slow Rate)'!$B$2</f>
        <v>Calc (Market Slow Rate)</v>
      </c>
      <c r="B233" s="104" t="s">
        <v>24</v>
      </c>
      <c r="C233" s="104" t="s">
        <v>124</v>
      </c>
      <c r="D233" s="160">
        <v>40085.593530928563</v>
      </c>
      <c r="E233" s="160">
        <v>84268.983270202865</v>
      </c>
      <c r="F233" s="160">
        <v>95090.958011865296</v>
      </c>
      <c r="G233" s="160">
        <v>95329.80900545184</v>
      </c>
      <c r="H233" s="160">
        <v>98438.451029581236</v>
      </c>
    </row>
    <row r="234" spans="1:10" s="35" customFormat="1" x14ac:dyDescent="0.3">
      <c r="A234" s="38" t="str">
        <f>Dist3</f>
        <v>SP Ausnet</v>
      </c>
      <c r="D234" s="76"/>
      <c r="E234" s="76"/>
      <c r="F234" s="76"/>
      <c r="G234" s="76"/>
      <c r="H234" s="76"/>
    </row>
    <row r="235" spans="1:10" s="35" customFormat="1" x14ac:dyDescent="0.3">
      <c r="A235" s="35" t="str">
        <f ca="1">'Calc (Jurisdiction)'!$B$2</f>
        <v>Calc (Jurisdiction)</v>
      </c>
      <c r="B235" s="104" t="s">
        <v>24</v>
      </c>
      <c r="C235" s="104" t="s">
        <v>124</v>
      </c>
      <c r="D235" s="160">
        <v>42443.436241174277</v>
      </c>
      <c r="E235" s="160">
        <v>88000.184777869115</v>
      </c>
      <c r="F235" s="160">
        <v>98380.375822070608</v>
      </c>
      <c r="G235" s="160">
        <v>97704.555828918586</v>
      </c>
      <c r="H235" s="160">
        <v>104287.37522510723</v>
      </c>
    </row>
    <row r="236" spans="1:10" s="35" customFormat="1" x14ac:dyDescent="0.3">
      <c r="A236" s="35" t="str">
        <f ca="1">'Calc (LRMC Planning case)'!$B$2</f>
        <v>Calc (LRMC Planning case)</v>
      </c>
      <c r="B236" s="104" t="s">
        <v>24</v>
      </c>
      <c r="C236" s="104" t="s">
        <v>124</v>
      </c>
      <c r="D236" s="160">
        <v>42443.436241174277</v>
      </c>
      <c r="E236" s="160">
        <v>88000.184777869115</v>
      </c>
      <c r="F236" s="160">
        <v>98380.375822070608</v>
      </c>
      <c r="G236" s="160">
        <v>100613.74176731356</v>
      </c>
      <c r="H236" s="160">
        <v>106811.56603281185</v>
      </c>
    </row>
    <row r="237" spans="1:10" s="35" customFormat="1" x14ac:dyDescent="0.3">
      <c r="A237" s="35" t="str">
        <f ca="1">'Calc (LRMC Slow Rate)'!$B$2</f>
        <v>Calc (LRMC Slow Rate)</v>
      </c>
      <c r="B237" s="104" t="s">
        <v>24</v>
      </c>
      <c r="C237" s="104" t="s">
        <v>124</v>
      </c>
      <c r="D237" s="160">
        <v>42443.436241174277</v>
      </c>
      <c r="E237" s="160">
        <v>88000.184777869115</v>
      </c>
      <c r="F237" s="160">
        <v>98380.375822070608</v>
      </c>
      <c r="G237" s="160">
        <v>101286.48209519981</v>
      </c>
      <c r="H237" s="160">
        <v>106982.09930272712</v>
      </c>
    </row>
    <row r="238" spans="1:10" s="35" customFormat="1" x14ac:dyDescent="0.3">
      <c r="A238" s="35" t="str">
        <f ca="1">'Calc (Market Planning Case)'!$B$2</f>
        <v>Calc (Market Planning Case)</v>
      </c>
      <c r="B238" s="104" t="s">
        <v>24</v>
      </c>
      <c r="C238" s="104" t="s">
        <v>124</v>
      </c>
      <c r="D238" s="160">
        <v>42443.436241174277</v>
      </c>
      <c r="E238" s="160">
        <v>88000.184777869115</v>
      </c>
      <c r="F238" s="160">
        <v>98380.375822070608</v>
      </c>
      <c r="G238" s="160">
        <v>97704.555828918586</v>
      </c>
      <c r="H238" s="160">
        <v>104287.37522510723</v>
      </c>
    </row>
    <row r="239" spans="1:10" s="35" customFormat="1" x14ac:dyDescent="0.3">
      <c r="A239" s="35" t="str">
        <f ca="1">'Calc (Market Slow Rate)'!$B$2</f>
        <v>Calc (Market Slow Rate)</v>
      </c>
      <c r="B239" s="104" t="s">
        <v>24</v>
      </c>
      <c r="C239" s="104" t="s">
        <v>124</v>
      </c>
      <c r="D239" s="160">
        <v>42443.436241174277</v>
      </c>
      <c r="E239" s="160">
        <v>88000.184777869115</v>
      </c>
      <c r="F239" s="160">
        <v>98380.375822070608</v>
      </c>
      <c r="G239" s="160">
        <v>99274.111146520008</v>
      </c>
      <c r="H239" s="160">
        <v>103475.2951835711</v>
      </c>
    </row>
    <row r="240" spans="1:10" s="35" customFormat="1" x14ac:dyDescent="0.3">
      <c r="A240" s="38" t="str">
        <f>Dist4</f>
        <v>United</v>
      </c>
      <c r="D240" s="76"/>
      <c r="E240" s="76"/>
      <c r="F240" s="76"/>
      <c r="G240" s="76"/>
      <c r="H240" s="76"/>
    </row>
    <row r="241" spans="1:14" s="35" customFormat="1" x14ac:dyDescent="0.3">
      <c r="A241" s="35" t="str">
        <f ca="1">'Calc (Jurisdiction)'!$B$2</f>
        <v>Calc (Jurisdiction)</v>
      </c>
      <c r="B241" s="104" t="s">
        <v>24</v>
      </c>
      <c r="C241" s="104" t="s">
        <v>124</v>
      </c>
      <c r="D241" s="160">
        <v>42695.471930225925</v>
      </c>
      <c r="E241" s="160">
        <v>83953.169123012907</v>
      </c>
      <c r="F241" s="160">
        <v>94318.076457398318</v>
      </c>
      <c r="G241" s="160">
        <v>94684.968074722332</v>
      </c>
      <c r="H241" s="160">
        <v>102075.73455631921</v>
      </c>
    </row>
    <row r="242" spans="1:14" s="35" customFormat="1" x14ac:dyDescent="0.3">
      <c r="A242" s="35" t="str">
        <f ca="1">'Calc (LRMC Planning case)'!$B$2</f>
        <v>Calc (LRMC Planning case)</v>
      </c>
      <c r="B242" s="104" t="s">
        <v>24</v>
      </c>
      <c r="C242" s="104" t="s">
        <v>124</v>
      </c>
      <c r="D242" s="160">
        <v>42695.471930225925</v>
      </c>
      <c r="E242" s="160">
        <v>83953.169123012907</v>
      </c>
      <c r="F242" s="160">
        <v>94318.076457398318</v>
      </c>
      <c r="G242" s="160">
        <v>97754.287052627507</v>
      </c>
      <c r="H242" s="160">
        <v>104679.20425660141</v>
      </c>
    </row>
    <row r="243" spans="1:14" s="35" customFormat="1" x14ac:dyDescent="0.3">
      <c r="A243" s="35" t="str">
        <f ca="1">'Calc (LRMC Slow Rate)'!$B$2</f>
        <v>Calc (LRMC Slow Rate)</v>
      </c>
      <c r="B243" s="104" t="s">
        <v>24</v>
      </c>
      <c r="C243" s="104" t="s">
        <v>124</v>
      </c>
      <c r="D243" s="160">
        <v>42695.471930225925</v>
      </c>
      <c r="E243" s="160">
        <v>83953.169123012907</v>
      </c>
      <c r="F243" s="160">
        <v>94318.076457398318</v>
      </c>
      <c r="G243" s="160">
        <v>98356.137414411642</v>
      </c>
      <c r="H243" s="160">
        <v>104862.29126276998</v>
      </c>
    </row>
    <row r="244" spans="1:14" s="35" customFormat="1" x14ac:dyDescent="0.3">
      <c r="A244" s="35" t="str">
        <f ca="1">'Calc (Market Planning Case)'!$B$2</f>
        <v>Calc (Market Planning Case)</v>
      </c>
      <c r="B244" s="104" t="s">
        <v>24</v>
      </c>
      <c r="C244" s="104" t="s">
        <v>124</v>
      </c>
      <c r="D244" s="160">
        <v>42695.471930225925</v>
      </c>
      <c r="E244" s="160">
        <v>83953.169123012907</v>
      </c>
      <c r="F244" s="160">
        <v>94318.076457398318</v>
      </c>
      <c r="G244" s="160">
        <v>94684.968074722332</v>
      </c>
      <c r="H244" s="160">
        <v>102075.73455631921</v>
      </c>
    </row>
    <row r="245" spans="1:14" s="35" customFormat="1" x14ac:dyDescent="0.3">
      <c r="A245" s="35" t="str">
        <f ca="1">'Calc (Market Slow Rate)'!$B$2</f>
        <v>Calc (Market Slow Rate)</v>
      </c>
      <c r="B245" s="104" t="s">
        <v>24</v>
      </c>
      <c r="C245" s="104" t="s">
        <v>124</v>
      </c>
      <c r="D245" s="160">
        <v>42695.471930225925</v>
      </c>
      <c r="E245" s="160">
        <v>83953.169123012907</v>
      </c>
      <c r="F245" s="160">
        <v>94318.076457398318</v>
      </c>
      <c r="G245" s="160">
        <v>96231.705592091923</v>
      </c>
      <c r="H245" s="160">
        <v>101173.92893171131</v>
      </c>
    </row>
    <row r="246" spans="1:14" s="35" customFormat="1" x14ac:dyDescent="0.3">
      <c r="A246" s="38" t="str">
        <f>Dist5</f>
        <v>Jemena</v>
      </c>
      <c r="D246" s="76"/>
      <c r="E246" s="76"/>
      <c r="F246" s="76"/>
      <c r="G246" s="76"/>
      <c r="H246" s="76"/>
    </row>
    <row r="247" spans="1:14" s="35" customFormat="1" x14ac:dyDescent="0.3">
      <c r="A247" s="35" t="str">
        <f ca="1">'Calc (Jurisdiction)'!$B$2</f>
        <v>Calc (Jurisdiction)</v>
      </c>
      <c r="B247" s="104" t="s">
        <v>24</v>
      </c>
      <c r="C247" s="104" t="s">
        <v>124</v>
      </c>
      <c r="D247" s="160">
        <v>42145.035700162487</v>
      </c>
      <c r="E247" s="160">
        <v>89401.528206380826</v>
      </c>
      <c r="F247" s="160">
        <v>99673.074234105836</v>
      </c>
      <c r="G247" s="160">
        <v>99498.6712969004</v>
      </c>
      <c r="H247" s="160">
        <v>102990.87259309094</v>
      </c>
    </row>
    <row r="248" spans="1:14" s="35" customFormat="1" x14ac:dyDescent="0.3">
      <c r="A248" s="35" t="str">
        <f ca="1">'Calc (LRMC Planning case)'!$B$2</f>
        <v>Calc (LRMC Planning case)</v>
      </c>
      <c r="B248" s="104" t="s">
        <v>24</v>
      </c>
      <c r="C248" s="104" t="s">
        <v>124</v>
      </c>
      <c r="D248" s="160">
        <v>42145.035700162487</v>
      </c>
      <c r="E248" s="160">
        <v>89401.528206380826</v>
      </c>
      <c r="F248" s="160">
        <v>99673.074234105836</v>
      </c>
      <c r="G248" s="160">
        <v>100764.73019122359</v>
      </c>
      <c r="H248" s="160">
        <v>103647.95842182206</v>
      </c>
    </row>
    <row r="249" spans="1:14" s="35" customFormat="1" x14ac:dyDescent="0.3">
      <c r="A249" s="35" t="str">
        <f ca="1">'Calc (LRMC Slow Rate)'!$B$2</f>
        <v>Calc (LRMC Slow Rate)</v>
      </c>
      <c r="B249" s="104" t="s">
        <v>24</v>
      </c>
      <c r="C249" s="104" t="s">
        <v>124</v>
      </c>
      <c r="D249" s="160">
        <v>42145.035700162487</v>
      </c>
      <c r="E249" s="160">
        <v>89401.528206380826</v>
      </c>
      <c r="F249" s="160">
        <v>99673.074234105836</v>
      </c>
      <c r="G249" s="160">
        <v>99669.028279567836</v>
      </c>
      <c r="H249" s="160">
        <v>101952.08581105297</v>
      </c>
    </row>
    <row r="250" spans="1:14" s="35" customFormat="1" x14ac:dyDescent="0.3">
      <c r="A250" s="35" t="str">
        <f ca="1">'Calc (Market Planning Case)'!$B$2</f>
        <v>Calc (Market Planning Case)</v>
      </c>
      <c r="B250" s="104" t="s">
        <v>24</v>
      </c>
      <c r="C250" s="104" t="s">
        <v>124</v>
      </c>
      <c r="D250" s="160">
        <v>42145.035700162487</v>
      </c>
      <c r="E250" s="160">
        <v>89401.528206380826</v>
      </c>
      <c r="F250" s="160">
        <v>99673.074234105836</v>
      </c>
      <c r="G250" s="160">
        <v>98131.172031894588</v>
      </c>
      <c r="H250" s="160">
        <v>102866.83558167257</v>
      </c>
    </row>
    <row r="251" spans="1:14" s="35" customFormat="1" x14ac:dyDescent="0.3">
      <c r="A251" s="35" t="str">
        <f ca="1">'Calc (Market Slow Rate)'!$B$2</f>
        <v>Calc (Market Slow Rate)</v>
      </c>
      <c r="B251" s="104" t="s">
        <v>24</v>
      </c>
      <c r="C251" s="104" t="s">
        <v>124</v>
      </c>
      <c r="D251" s="160">
        <v>42145.035700162487</v>
      </c>
      <c r="E251" s="160">
        <v>89401.528206380826</v>
      </c>
      <c r="F251" s="160">
        <v>109917.67167832593</v>
      </c>
      <c r="G251" s="160">
        <v>111132.63687733354</v>
      </c>
      <c r="H251" s="160">
        <v>111098.81913473636</v>
      </c>
    </row>
    <row r="252" spans="1:14" s="35" customFormat="1" x14ac:dyDescent="0.3"/>
    <row r="253" spans="1:14" s="37" customFormat="1" ht="18.75" x14ac:dyDescent="0.3">
      <c r="A253" s="36" t="s">
        <v>119</v>
      </c>
    </row>
    <row r="254" spans="1:14" s="35" customFormat="1" x14ac:dyDescent="0.3">
      <c r="A254" s="46" t="str">
        <f>'Input Frontier'!A41</f>
        <v>Carbon costs</v>
      </c>
      <c r="D254" s="39"/>
      <c r="E254" s="39"/>
      <c r="F254" s="39"/>
      <c r="G254" s="39"/>
      <c r="H254" s="39"/>
    </row>
    <row r="255" spans="1:14" s="35" customFormat="1" x14ac:dyDescent="0.3">
      <c r="A255" s="38" t="str">
        <f>Dist1</f>
        <v>Citipower</v>
      </c>
      <c r="D255" s="39"/>
      <c r="E255" s="39"/>
      <c r="F255" s="39"/>
      <c r="G255" s="39"/>
      <c r="H255" s="39"/>
    </row>
    <row r="256" spans="1:14" s="35" customFormat="1" x14ac:dyDescent="0.3">
      <c r="A256" s="35" t="str">
        <f ca="1">'Calc (Jurisdiction)'!$B$2</f>
        <v>Calc (Jurisdiction)</v>
      </c>
      <c r="B256" s="104" t="s">
        <v>24</v>
      </c>
      <c r="C256" s="35" t="s">
        <v>11</v>
      </c>
      <c r="D256" s="80">
        <f t="shared" ref="D256:H260" si="41">D$356+D448</f>
        <v>0</v>
      </c>
      <c r="E256" s="80">
        <f t="shared" si="41"/>
        <v>0</v>
      </c>
      <c r="F256" s="80">
        <f t="shared" si="41"/>
        <v>2.2400000000000002</v>
      </c>
      <c r="G256" s="80">
        <f t="shared" si="41"/>
        <v>2.5063856367024897</v>
      </c>
      <c r="H256" s="80">
        <f t="shared" si="41"/>
        <v>2.4506375937736258</v>
      </c>
      <c r="I256" s="42"/>
      <c r="J256" s="47"/>
      <c r="K256" s="47"/>
      <c r="L256" s="47"/>
      <c r="M256" s="47"/>
      <c r="N256" s="47"/>
    </row>
    <row r="257" spans="1:14" s="35" customFormat="1" x14ac:dyDescent="0.3">
      <c r="A257" s="35" t="str">
        <f ca="1">'Calc (LRMC Planning case)'!$B$2</f>
        <v>Calc (LRMC Planning case)</v>
      </c>
      <c r="B257" s="104" t="s">
        <v>24</v>
      </c>
      <c r="C257" s="35" t="s">
        <v>11</v>
      </c>
      <c r="D257" s="80">
        <f t="shared" si="41"/>
        <v>0</v>
      </c>
      <c r="E257" s="80">
        <f t="shared" si="41"/>
        <v>0</v>
      </c>
      <c r="F257" s="80">
        <f t="shared" si="41"/>
        <v>2.2400000000000002</v>
      </c>
      <c r="G257" s="80">
        <f t="shared" si="41"/>
        <v>2.3498282069763228</v>
      </c>
      <c r="H257" s="80">
        <f t="shared" si="41"/>
        <v>2.4680829139454188</v>
      </c>
      <c r="I257" s="42"/>
      <c r="J257" s="47"/>
      <c r="K257" s="47"/>
      <c r="L257" s="47"/>
      <c r="M257" s="47"/>
      <c r="N257" s="47"/>
    </row>
    <row r="258" spans="1:14" s="35" customFormat="1" x14ac:dyDescent="0.3">
      <c r="A258" s="35" t="str">
        <f ca="1">'Calc (LRMC Slow Rate)'!$B$2</f>
        <v>Calc (LRMC Slow Rate)</v>
      </c>
      <c r="B258" s="104" t="s">
        <v>24</v>
      </c>
      <c r="C258" s="35" t="s">
        <v>11</v>
      </c>
      <c r="D258" s="80">
        <f t="shared" si="41"/>
        <v>0</v>
      </c>
      <c r="E258" s="80">
        <f t="shared" si="41"/>
        <v>0</v>
      </c>
      <c r="F258" s="80">
        <f t="shared" si="41"/>
        <v>2.2400000000000002</v>
      </c>
      <c r="G258" s="80">
        <f t="shared" si="41"/>
        <v>2.3554766355341958</v>
      </c>
      <c r="H258" s="80">
        <f t="shared" si="41"/>
        <v>2.4723612935227774</v>
      </c>
      <c r="I258" s="42"/>
      <c r="J258" s="48"/>
      <c r="K258" s="48"/>
      <c r="L258" s="48"/>
      <c r="M258" s="48"/>
      <c r="N258" s="48"/>
    </row>
    <row r="259" spans="1:14" s="35" customFormat="1" x14ac:dyDescent="0.3">
      <c r="A259" s="35" t="str">
        <f ca="1">'Calc (Market Planning Case)'!$B$2</f>
        <v>Calc (Market Planning Case)</v>
      </c>
      <c r="B259" s="104" t="s">
        <v>24</v>
      </c>
      <c r="C259" s="35" t="s">
        <v>11</v>
      </c>
      <c r="D259" s="80">
        <f t="shared" si="41"/>
        <v>0</v>
      </c>
      <c r="E259" s="80">
        <f t="shared" si="41"/>
        <v>0</v>
      </c>
      <c r="F259" s="80">
        <f t="shared" si="41"/>
        <v>2.2400000000000002</v>
      </c>
      <c r="G259" s="80">
        <f t="shared" si="41"/>
        <v>2.5063856367024897</v>
      </c>
      <c r="H259" s="80">
        <f t="shared" si="41"/>
        <v>2.4506375937736258</v>
      </c>
      <c r="I259" s="42"/>
      <c r="J259" s="42"/>
      <c r="K259" s="42"/>
      <c r="L259" s="42"/>
      <c r="M259" s="42"/>
      <c r="N259" s="42"/>
    </row>
    <row r="260" spans="1:14" s="35" customFormat="1" x14ac:dyDescent="0.3">
      <c r="A260" s="35" t="str">
        <f ca="1">'Calc (Market Slow Rate)'!$B$2</f>
        <v>Calc (Market Slow Rate)</v>
      </c>
      <c r="B260" s="104" t="s">
        <v>24</v>
      </c>
      <c r="C260" s="35" t="s">
        <v>11</v>
      </c>
      <c r="D260" s="80">
        <f t="shared" si="41"/>
        <v>0</v>
      </c>
      <c r="E260" s="80">
        <f t="shared" si="41"/>
        <v>0</v>
      </c>
      <c r="F260" s="80">
        <f t="shared" si="41"/>
        <v>2.2400000000000002</v>
      </c>
      <c r="G260" s="80">
        <f t="shared" si="41"/>
        <v>2.6543740057764724</v>
      </c>
      <c r="H260" s="80">
        <f t="shared" si="41"/>
        <v>2.4894418064030548</v>
      </c>
      <c r="I260" s="48"/>
      <c r="J260" s="48"/>
      <c r="K260" s="48"/>
      <c r="L260" s="48"/>
      <c r="M260" s="48"/>
      <c r="N260" s="48"/>
    </row>
    <row r="261" spans="1:14" s="35" customFormat="1" x14ac:dyDescent="0.3">
      <c r="A261" s="38" t="str">
        <f>Dist2</f>
        <v>Powercor</v>
      </c>
      <c r="D261" s="39"/>
      <c r="E261" s="39"/>
      <c r="F261" s="39"/>
      <c r="G261" s="39"/>
      <c r="H261" s="39"/>
      <c r="I261" s="42"/>
      <c r="J261" s="48"/>
      <c r="K261" s="48"/>
      <c r="L261" s="48"/>
      <c r="M261" s="48"/>
      <c r="N261" s="48"/>
    </row>
    <row r="262" spans="1:14" s="35" customFormat="1" x14ac:dyDescent="0.3">
      <c r="A262" s="35" t="str">
        <f ca="1">'Calc (Jurisdiction)'!$B$2</f>
        <v>Calc (Jurisdiction)</v>
      </c>
      <c r="B262" s="104" t="s">
        <v>24</v>
      </c>
      <c r="C262" s="35" t="s">
        <v>11</v>
      </c>
      <c r="D262" s="80">
        <f t="shared" ref="D262:H266" si="42">D$367+D455</f>
        <v>0</v>
      </c>
      <c r="E262" s="80">
        <f t="shared" si="42"/>
        <v>0</v>
      </c>
      <c r="F262" s="80">
        <f t="shared" si="42"/>
        <v>2.2400000000000002</v>
      </c>
      <c r="G262" s="80">
        <f t="shared" si="42"/>
        <v>2.522441159419115</v>
      </c>
      <c r="H262" s="80">
        <f t="shared" si="42"/>
        <v>2.4798567947853289</v>
      </c>
      <c r="I262" s="42"/>
      <c r="J262" s="48"/>
      <c r="K262" s="48"/>
      <c r="L262" s="48"/>
      <c r="M262" s="48"/>
      <c r="N262" s="48"/>
    </row>
    <row r="263" spans="1:14" s="35" customFormat="1" x14ac:dyDescent="0.3">
      <c r="A263" s="35" t="str">
        <f ca="1">'Calc (LRMC Planning case)'!$B$2</f>
        <v>Calc (LRMC Planning case)</v>
      </c>
      <c r="B263" s="104" t="s">
        <v>24</v>
      </c>
      <c r="C263" s="35" t="s">
        <v>11</v>
      </c>
      <c r="D263" s="80">
        <f t="shared" si="42"/>
        <v>0</v>
      </c>
      <c r="E263" s="80">
        <f t="shared" si="42"/>
        <v>0</v>
      </c>
      <c r="F263" s="80">
        <f t="shared" si="42"/>
        <v>2.2400000000000002</v>
      </c>
      <c r="G263" s="80">
        <f t="shared" si="42"/>
        <v>2.3502049643771574</v>
      </c>
      <c r="H263" s="80">
        <f t="shared" si="42"/>
        <v>2.5940942161921114</v>
      </c>
      <c r="I263" s="48"/>
      <c r="J263" s="48"/>
      <c r="K263" s="48"/>
      <c r="L263" s="48"/>
      <c r="M263" s="48"/>
      <c r="N263" s="42"/>
    </row>
    <row r="264" spans="1:14" s="35" customFormat="1" x14ac:dyDescent="0.3">
      <c r="A264" s="35" t="str">
        <f ca="1">'Calc (LRMC Slow Rate)'!$B$2</f>
        <v>Calc (LRMC Slow Rate)</v>
      </c>
      <c r="B264" s="104" t="s">
        <v>24</v>
      </c>
      <c r="C264" s="35" t="s">
        <v>11</v>
      </c>
      <c r="D264" s="80">
        <f t="shared" si="42"/>
        <v>0</v>
      </c>
      <c r="E264" s="80">
        <f t="shared" si="42"/>
        <v>0</v>
      </c>
      <c r="F264" s="80">
        <f t="shared" si="42"/>
        <v>2.2400000000000002</v>
      </c>
      <c r="G264" s="80">
        <f t="shared" si="42"/>
        <v>2.3547397887430725</v>
      </c>
      <c r="H264" s="80">
        <f t="shared" si="42"/>
        <v>2.4726284520803699</v>
      </c>
      <c r="J264" s="41"/>
      <c r="K264" s="41"/>
      <c r="L264" s="41"/>
      <c r="M264" s="41"/>
      <c r="N264" s="41"/>
    </row>
    <row r="265" spans="1:14" s="35" customFormat="1" x14ac:dyDescent="0.3">
      <c r="A265" s="35" t="str">
        <f ca="1">'Calc (Market Planning Case)'!$B$2</f>
        <v>Calc (Market Planning Case)</v>
      </c>
      <c r="B265" s="104" t="s">
        <v>24</v>
      </c>
      <c r="C265" s="35" t="s">
        <v>11</v>
      </c>
      <c r="D265" s="80">
        <f t="shared" si="42"/>
        <v>0</v>
      </c>
      <c r="E265" s="80">
        <f t="shared" si="42"/>
        <v>0</v>
      </c>
      <c r="F265" s="80">
        <f t="shared" si="42"/>
        <v>2.2400000000000002</v>
      </c>
      <c r="G265" s="80">
        <f t="shared" si="42"/>
        <v>2.522441159419115</v>
      </c>
      <c r="H265" s="80">
        <f t="shared" si="42"/>
        <v>2.4798567947853289</v>
      </c>
    </row>
    <row r="266" spans="1:14" s="35" customFormat="1" x14ac:dyDescent="0.3">
      <c r="A266" s="35" t="str">
        <f ca="1">'Calc (Market Slow Rate)'!$B$2</f>
        <v>Calc (Market Slow Rate)</v>
      </c>
      <c r="B266" s="104" t="s">
        <v>24</v>
      </c>
      <c r="C266" s="35" t="s">
        <v>11</v>
      </c>
      <c r="D266" s="80">
        <f t="shared" si="42"/>
        <v>0</v>
      </c>
      <c r="E266" s="80">
        <f t="shared" si="42"/>
        <v>0</v>
      </c>
      <c r="F266" s="80">
        <f t="shared" si="42"/>
        <v>2.2400000000000002</v>
      </c>
      <c r="G266" s="80">
        <f t="shared" si="42"/>
        <v>2.648055532786556</v>
      </c>
      <c r="H266" s="80">
        <f t="shared" si="42"/>
        <v>2.5093387835543446</v>
      </c>
    </row>
    <row r="267" spans="1:14" s="35" customFormat="1" x14ac:dyDescent="0.3">
      <c r="A267" s="38" t="str">
        <f>Dist3</f>
        <v>SP Ausnet</v>
      </c>
      <c r="D267" s="39"/>
      <c r="E267" s="39"/>
      <c r="F267" s="39"/>
      <c r="G267" s="39"/>
      <c r="H267" s="39"/>
    </row>
    <row r="268" spans="1:14" s="35" customFormat="1" x14ac:dyDescent="0.3">
      <c r="A268" s="35" t="str">
        <f ca="1">'Calc (Jurisdiction)'!$B$2</f>
        <v>Calc (Jurisdiction)</v>
      </c>
      <c r="B268" s="104" t="s">
        <v>24</v>
      </c>
      <c r="C268" s="35" t="s">
        <v>11</v>
      </c>
      <c r="D268" s="80">
        <f t="shared" ref="D268:H272" si="43">D$378+D462</f>
        <v>0</v>
      </c>
      <c r="E268" s="80">
        <f t="shared" si="43"/>
        <v>0</v>
      </c>
      <c r="F268" s="80">
        <f t="shared" si="43"/>
        <v>2.2400000000000002</v>
      </c>
      <c r="G268" s="80">
        <f t="shared" si="43"/>
        <v>2.4899558233391459</v>
      </c>
      <c r="H268" s="80">
        <f t="shared" si="43"/>
        <v>2.4552372942782954</v>
      </c>
    </row>
    <row r="269" spans="1:14" s="35" customFormat="1" x14ac:dyDescent="0.3">
      <c r="A269" s="35" t="str">
        <f ca="1">'Calc (LRMC Planning case)'!$B$2</f>
        <v>Calc (LRMC Planning case)</v>
      </c>
      <c r="B269" s="104" t="s">
        <v>24</v>
      </c>
      <c r="C269" s="35" t="s">
        <v>11</v>
      </c>
      <c r="D269" s="80">
        <f t="shared" si="43"/>
        <v>0</v>
      </c>
      <c r="E269" s="80">
        <f t="shared" si="43"/>
        <v>0</v>
      </c>
      <c r="F269" s="80">
        <f t="shared" si="43"/>
        <v>2.2400000000000002</v>
      </c>
      <c r="G269" s="80">
        <f t="shared" si="43"/>
        <v>2.3501327077706327</v>
      </c>
      <c r="H269" s="80">
        <f t="shared" si="43"/>
        <v>2.4688114502256324</v>
      </c>
    </row>
    <row r="270" spans="1:14" s="35" customFormat="1" x14ac:dyDescent="0.3">
      <c r="A270" s="35" t="str">
        <f ca="1">'Calc (LRMC Slow Rate)'!$B$2</f>
        <v>Calc (LRMC Slow Rate)</v>
      </c>
      <c r="B270" s="104" t="s">
        <v>24</v>
      </c>
      <c r="C270" s="35" t="s">
        <v>11</v>
      </c>
      <c r="D270" s="80">
        <f t="shared" si="43"/>
        <v>0</v>
      </c>
      <c r="E270" s="80">
        <f t="shared" si="43"/>
        <v>0</v>
      </c>
      <c r="F270" s="80">
        <f t="shared" si="43"/>
        <v>2.2400000000000002</v>
      </c>
      <c r="G270" s="80">
        <f t="shared" si="43"/>
        <v>2.413632745533401</v>
      </c>
      <c r="H270" s="80">
        <f t="shared" si="43"/>
        <v>2.4725804137617162</v>
      </c>
    </row>
    <row r="271" spans="1:14" s="35" customFormat="1" x14ac:dyDescent="0.3">
      <c r="A271" s="35" t="str">
        <f ca="1">'Calc (Market Planning Case)'!$B$2</f>
        <v>Calc (Market Planning Case)</v>
      </c>
      <c r="B271" s="104" t="s">
        <v>24</v>
      </c>
      <c r="C271" s="35" t="s">
        <v>11</v>
      </c>
      <c r="D271" s="80">
        <f t="shared" si="43"/>
        <v>0</v>
      </c>
      <c r="E271" s="80">
        <f t="shared" si="43"/>
        <v>0</v>
      </c>
      <c r="F271" s="80">
        <f t="shared" si="43"/>
        <v>2.2400000000000002</v>
      </c>
      <c r="G271" s="80">
        <f t="shared" si="43"/>
        <v>2.4899558233391459</v>
      </c>
      <c r="H271" s="80">
        <f t="shared" si="43"/>
        <v>2.4552372942782954</v>
      </c>
    </row>
    <row r="272" spans="1:14" s="35" customFormat="1" x14ac:dyDescent="0.3">
      <c r="A272" s="35" t="str">
        <f ca="1">'Calc (Market Slow Rate)'!$B$2</f>
        <v>Calc (Market Slow Rate)</v>
      </c>
      <c r="B272" s="104" t="s">
        <v>24</v>
      </c>
      <c r="C272" s="35" t="s">
        <v>11</v>
      </c>
      <c r="D272" s="80">
        <f t="shared" si="43"/>
        <v>0</v>
      </c>
      <c r="E272" s="80">
        <f t="shared" si="43"/>
        <v>0</v>
      </c>
      <c r="F272" s="80">
        <f t="shared" si="43"/>
        <v>2.2400000000000002</v>
      </c>
      <c r="G272" s="80">
        <f t="shared" si="43"/>
        <v>2.6455646288497272</v>
      </c>
      <c r="H272" s="80">
        <f t="shared" si="43"/>
        <v>2.4993877626106</v>
      </c>
    </row>
    <row r="273" spans="1:14" s="35" customFormat="1" x14ac:dyDescent="0.3">
      <c r="A273" s="38" t="str">
        <f>Dist4</f>
        <v>United</v>
      </c>
      <c r="D273" s="39"/>
      <c r="E273" s="39"/>
      <c r="F273" s="39"/>
      <c r="G273" s="39"/>
      <c r="H273" s="39"/>
    </row>
    <row r="274" spans="1:14" s="35" customFormat="1" x14ac:dyDescent="0.3">
      <c r="A274" s="35" t="str">
        <f ca="1">'Calc (Jurisdiction)'!$B$2</f>
        <v>Calc (Jurisdiction)</v>
      </c>
      <c r="B274" s="104" t="s">
        <v>24</v>
      </c>
      <c r="C274" s="35" t="s">
        <v>11</v>
      </c>
      <c r="D274" s="80">
        <f t="shared" ref="D274:H278" si="44">D$389+D469</f>
        <v>0</v>
      </c>
      <c r="E274" s="80">
        <f t="shared" si="44"/>
        <v>0</v>
      </c>
      <c r="F274" s="80">
        <f t="shared" si="44"/>
        <v>2.2400000000000002</v>
      </c>
      <c r="G274" s="80">
        <f t="shared" si="44"/>
        <v>2.5097915416869019</v>
      </c>
      <c r="H274" s="80">
        <f t="shared" si="44"/>
        <v>2.4531280630206824</v>
      </c>
    </row>
    <row r="275" spans="1:14" s="35" customFormat="1" x14ac:dyDescent="0.3">
      <c r="A275" s="35" t="str">
        <f ca="1">'Calc (LRMC Planning case)'!$B$2</f>
        <v>Calc (LRMC Planning case)</v>
      </c>
      <c r="B275" s="104" t="s">
        <v>24</v>
      </c>
      <c r="C275" s="35" t="s">
        <v>11</v>
      </c>
      <c r="D275" s="80">
        <f t="shared" si="44"/>
        <v>0</v>
      </c>
      <c r="E275" s="80">
        <f t="shared" si="44"/>
        <v>0</v>
      </c>
      <c r="F275" s="80">
        <f t="shared" si="44"/>
        <v>2.2400000000000002</v>
      </c>
      <c r="G275" s="80">
        <f t="shared" si="44"/>
        <v>2.3497643165747153</v>
      </c>
      <c r="H275" s="80">
        <f t="shared" si="44"/>
        <v>2.4678670468694643</v>
      </c>
    </row>
    <row r="276" spans="1:14" s="35" customFormat="1" x14ac:dyDescent="0.3">
      <c r="A276" s="35" t="str">
        <f ca="1">'Calc (LRMC Slow Rate)'!$B$2</f>
        <v>Calc (LRMC Slow Rate)</v>
      </c>
      <c r="B276" s="104" t="s">
        <v>24</v>
      </c>
      <c r="C276" s="35" t="s">
        <v>11</v>
      </c>
      <c r="D276" s="80">
        <f t="shared" si="44"/>
        <v>0</v>
      </c>
      <c r="E276" s="80">
        <f t="shared" si="44"/>
        <v>0</v>
      </c>
      <c r="F276" s="80">
        <f t="shared" si="44"/>
        <v>2.2400000000000002</v>
      </c>
      <c r="G276" s="80">
        <f t="shared" si="44"/>
        <v>2.3554214357085517</v>
      </c>
      <c r="H276" s="80">
        <f t="shared" si="44"/>
        <v>2.4723602825560671</v>
      </c>
    </row>
    <row r="277" spans="1:14" s="35" customFormat="1" x14ac:dyDescent="0.3">
      <c r="A277" s="35" t="str">
        <f ca="1">'Calc (Market Planning Case)'!$B$2</f>
        <v>Calc (Market Planning Case)</v>
      </c>
      <c r="B277" s="104" t="s">
        <v>24</v>
      </c>
      <c r="C277" s="35" t="s">
        <v>11</v>
      </c>
      <c r="D277" s="80">
        <f t="shared" si="44"/>
        <v>0</v>
      </c>
      <c r="E277" s="80">
        <f t="shared" si="44"/>
        <v>0</v>
      </c>
      <c r="F277" s="80">
        <f t="shared" si="44"/>
        <v>2.2400000000000002</v>
      </c>
      <c r="G277" s="80">
        <f t="shared" si="44"/>
        <v>2.5097915416869019</v>
      </c>
      <c r="H277" s="80">
        <f t="shared" si="44"/>
        <v>2.4531280630206824</v>
      </c>
    </row>
    <row r="278" spans="1:14" s="35" customFormat="1" x14ac:dyDescent="0.3">
      <c r="A278" s="35" t="str">
        <f ca="1">'Calc (Market Slow Rate)'!$B$2</f>
        <v>Calc (Market Slow Rate)</v>
      </c>
      <c r="B278" s="104" t="s">
        <v>24</v>
      </c>
      <c r="C278" s="35" t="s">
        <v>11</v>
      </c>
      <c r="D278" s="80">
        <f t="shared" si="44"/>
        <v>0</v>
      </c>
      <c r="E278" s="80">
        <f t="shared" si="44"/>
        <v>0</v>
      </c>
      <c r="F278" s="80">
        <f t="shared" si="44"/>
        <v>2.2400000000000002</v>
      </c>
      <c r="G278" s="80">
        <f t="shared" si="44"/>
        <v>2.6546159050018265</v>
      </c>
      <c r="H278" s="80">
        <f t="shared" si="44"/>
        <v>2.4956045363007444</v>
      </c>
    </row>
    <row r="279" spans="1:14" s="35" customFormat="1" x14ac:dyDescent="0.3">
      <c r="A279" s="38" t="str">
        <f>Dist5</f>
        <v>Jemena</v>
      </c>
      <c r="D279" s="39"/>
      <c r="E279" s="39"/>
      <c r="F279" s="39"/>
      <c r="G279" s="39"/>
      <c r="H279" s="39"/>
    </row>
    <row r="280" spans="1:14" s="35" customFormat="1" x14ac:dyDescent="0.3">
      <c r="A280" s="35" t="str">
        <f ca="1">'Calc (Jurisdiction)'!$B$2</f>
        <v>Calc (Jurisdiction)</v>
      </c>
      <c r="B280" s="104" t="s">
        <v>24</v>
      </c>
      <c r="C280" s="35" t="s">
        <v>11</v>
      </c>
      <c r="D280" s="80">
        <f t="shared" ref="D280:H284" si="45">D$400+D476</f>
        <v>0</v>
      </c>
      <c r="E280" s="106">
        <f t="shared" si="45"/>
        <v>0</v>
      </c>
      <c r="F280" s="106">
        <f t="shared" si="45"/>
        <v>2.2400000000000002</v>
      </c>
      <c r="G280" s="106">
        <f t="shared" si="45"/>
        <v>2.7425616954920162</v>
      </c>
      <c r="H280" s="106">
        <f t="shared" si="45"/>
        <v>2.9078090526541835</v>
      </c>
    </row>
    <row r="281" spans="1:14" s="35" customFormat="1" x14ac:dyDescent="0.3">
      <c r="A281" s="35" t="str">
        <f ca="1">'Calc (LRMC Planning case)'!$B$2</f>
        <v>Calc (LRMC Planning case)</v>
      </c>
      <c r="B281" s="104" t="s">
        <v>24</v>
      </c>
      <c r="C281" s="35" t="s">
        <v>11</v>
      </c>
      <c r="D281" s="80">
        <f t="shared" si="45"/>
        <v>0</v>
      </c>
      <c r="E281" s="106">
        <f t="shared" si="45"/>
        <v>0</v>
      </c>
      <c r="F281" s="106">
        <f t="shared" si="45"/>
        <v>2.2400000000000002</v>
      </c>
      <c r="G281" s="106">
        <f t="shared" si="45"/>
        <v>2.3496983847138235</v>
      </c>
      <c r="H281" s="106">
        <f t="shared" si="45"/>
        <v>2.4675592256389769</v>
      </c>
    </row>
    <row r="282" spans="1:14" s="35" customFormat="1" x14ac:dyDescent="0.3">
      <c r="A282" s="35" t="str">
        <f ca="1">'Calc (LRMC Slow Rate)'!$B$2</f>
        <v>Calc (LRMC Slow Rate)</v>
      </c>
      <c r="B282" s="104" t="s">
        <v>24</v>
      </c>
      <c r="C282" s="35" t="s">
        <v>11</v>
      </c>
      <c r="D282" s="80">
        <f t="shared" si="45"/>
        <v>0</v>
      </c>
      <c r="E282" s="106">
        <f t="shared" si="45"/>
        <v>0</v>
      </c>
      <c r="F282" s="106">
        <f t="shared" si="45"/>
        <v>2.2400000000000002</v>
      </c>
      <c r="G282" s="106">
        <f t="shared" si="45"/>
        <v>2.3553955788606236</v>
      </c>
      <c r="H282" s="106">
        <f t="shared" si="45"/>
        <v>2.4723212421797451</v>
      </c>
    </row>
    <row r="283" spans="1:14" s="35" customFormat="1" x14ac:dyDescent="0.3">
      <c r="A283" s="35" t="str">
        <f ca="1">'Calc (Market Planning Case)'!$B$2</f>
        <v>Calc (Market Planning Case)</v>
      </c>
      <c r="B283" s="104" t="s">
        <v>24</v>
      </c>
      <c r="C283" s="35" t="s">
        <v>11</v>
      </c>
      <c r="D283" s="80">
        <f t="shared" si="45"/>
        <v>0</v>
      </c>
      <c r="E283" s="106">
        <f t="shared" si="45"/>
        <v>0</v>
      </c>
      <c r="F283" s="106">
        <f t="shared" si="45"/>
        <v>2.2400000000000002</v>
      </c>
      <c r="G283" s="106">
        <f t="shared" si="45"/>
        <v>2.7425616954920162</v>
      </c>
      <c r="H283" s="106">
        <f t="shared" si="45"/>
        <v>2.9078090526541835</v>
      </c>
    </row>
    <row r="284" spans="1:14" s="35" customFormat="1" x14ac:dyDescent="0.3">
      <c r="A284" s="35" t="str">
        <f ca="1">'Calc (Market Slow Rate)'!$B$2</f>
        <v>Calc (Market Slow Rate)</v>
      </c>
      <c r="B284" s="104" t="s">
        <v>24</v>
      </c>
      <c r="C284" s="35" t="s">
        <v>11</v>
      </c>
      <c r="D284" s="80">
        <f t="shared" si="45"/>
        <v>0</v>
      </c>
      <c r="E284" s="106">
        <f t="shared" si="45"/>
        <v>0</v>
      </c>
      <c r="F284" s="106">
        <f t="shared" si="45"/>
        <v>2.2400000000000002</v>
      </c>
      <c r="G284" s="106">
        <f t="shared" si="45"/>
        <v>2.6565469063281641</v>
      </c>
      <c r="H284" s="106">
        <f t="shared" si="45"/>
        <v>2.4959495019666473</v>
      </c>
    </row>
    <row r="285" spans="1:14" s="35" customFormat="1" x14ac:dyDescent="0.3">
      <c r="D285" s="39"/>
      <c r="E285" s="39"/>
      <c r="F285" s="39"/>
      <c r="G285" s="39"/>
      <c r="H285" s="39"/>
    </row>
    <row r="286" spans="1:14" s="35" customFormat="1" x14ac:dyDescent="0.3">
      <c r="A286" s="21" t="s">
        <v>76</v>
      </c>
      <c r="D286" s="39"/>
      <c r="E286" s="39"/>
      <c r="F286" s="39"/>
      <c r="G286" s="39"/>
      <c r="H286" s="39"/>
    </row>
    <row r="287" spans="1:14" s="35" customFormat="1" x14ac:dyDescent="0.3">
      <c r="A287" s="38" t="str">
        <f>Dist1</f>
        <v>Citipower</v>
      </c>
      <c r="D287" s="39"/>
      <c r="E287" s="39"/>
      <c r="F287" s="39"/>
      <c r="G287" s="39"/>
      <c r="H287" s="39"/>
    </row>
    <row r="288" spans="1:14" s="35" customFormat="1" x14ac:dyDescent="0.3">
      <c r="A288" s="35" t="str">
        <f ca="1">'Calc (Jurisdiction)'!$B$2</f>
        <v>Calc (Jurisdiction)</v>
      </c>
      <c r="B288" s="104" t="s">
        <v>24</v>
      </c>
      <c r="C288" s="35" t="s">
        <v>11</v>
      </c>
      <c r="D288" s="80">
        <f ca="1">IF(LEFT($A288,5)="blank",0,D$353+D$354+D$355+D$409+(VLOOKUP($A288,Dist1Frontier,COLUMN(D288),FALSE))-IF('Input Global'!D$64="yes",D256,0))</f>
        <v>6.3719017275711742</v>
      </c>
      <c r="E288" s="106">
        <f ca="1">IF(LEFT($A288,5)="blank",0,E$353+E$354+E$355+E$409+(VLOOKUP($A288,Dist1Frontier,COLUMN(E288),FALSE))-IF('Input Global'!E$64="yes",E256,0))</f>
        <v>7.9573343312611602</v>
      </c>
      <c r="F288" s="106">
        <f ca="1">IF(LEFT($A288,5)="blank",0,F$353+F$354+F$355+F$409+(VLOOKUP($A288,Dist1Frontier,COLUMN(F288),FALSE))-IF('Input Global'!F$64="yes",F256,0))</f>
        <v>6.308190580209736</v>
      </c>
      <c r="G288" s="106">
        <f ca="1">IF(LEFT($A288,5)="blank",0,G$353+G$354+G$355+G$409+(VLOOKUP($A288,Dist1Frontier,COLUMN(G288),FALSE))-IF('Input Global'!G$64="yes",G256,0))</f>
        <v>5.4082490543059114</v>
      </c>
      <c r="H288" s="106">
        <f ca="1">IF(LEFT($A288,5)="blank",0,H$353+H$354+H$355+H$409+(VLOOKUP($A288,Dist1Frontier,COLUMN(H288),FALSE))-IF('Input Global'!H$64="yes",H256,0))</f>
        <v>5.9793427092918243</v>
      </c>
      <c r="J288" s="49"/>
      <c r="K288" s="49"/>
      <c r="L288" s="49"/>
      <c r="M288" s="49"/>
      <c r="N288" s="49"/>
    </row>
    <row r="289" spans="1:8" s="35" customFormat="1" x14ac:dyDescent="0.3">
      <c r="A289" s="35" t="str">
        <f ca="1">'Calc (LRMC Planning case)'!$B$2</f>
        <v>Calc (LRMC Planning case)</v>
      </c>
      <c r="B289" s="104" t="s">
        <v>24</v>
      </c>
      <c r="C289" s="35" t="s">
        <v>11</v>
      </c>
      <c r="D289" s="106">
        <f ca="1">IF(LEFT($A289,5)="blank",0,D$353+D$354+D$355+D$409+(VLOOKUP($A289,Dist1Frontier,COLUMN(D289),FALSE))-IF('Input Global'!D$64="yes",D257,0))</f>
        <v>6.3719017275711742</v>
      </c>
      <c r="E289" s="106">
        <f ca="1">IF(LEFT($A289,5)="blank",0,E$353+E$354+E$355+E$409+(VLOOKUP($A289,Dist1Frontier,COLUMN(E289),FALSE))-IF('Input Global'!E$64="yes",E257,0))</f>
        <v>7.9573343312611602</v>
      </c>
      <c r="F289" s="106">
        <f ca="1">IF(LEFT($A289,5)="blank",0,F$353+F$354+F$355+F$409+(VLOOKUP($A289,Dist1Frontier,COLUMN(F289),FALSE))-IF('Input Global'!F$64="yes",F257,0))</f>
        <v>6.308190580209736</v>
      </c>
      <c r="G289" s="106">
        <f ca="1">IF(LEFT($A289,5)="blank",0,G$353+G$354+G$355+G$409+(VLOOKUP($A289,Dist1Frontier,COLUMN(G289),FALSE))-IF('Input Global'!G$64="yes",G257,0))</f>
        <v>6.2635637477488757</v>
      </c>
      <c r="H289" s="106">
        <f ca="1">IF(LEFT($A289,5)="blank",0,H$353+H$354+H$355+H$409+(VLOOKUP($A289,Dist1Frontier,COLUMN(H289),FALSE))-IF('Input Global'!H$64="yes",H257,0))</f>
        <v>6.5833546541142338</v>
      </c>
    </row>
    <row r="290" spans="1:8" s="35" customFormat="1" x14ac:dyDescent="0.3">
      <c r="A290" s="35" t="str">
        <f ca="1">'Calc (LRMC Slow Rate)'!$B$2</f>
        <v>Calc (LRMC Slow Rate)</v>
      </c>
      <c r="B290" s="104" t="s">
        <v>24</v>
      </c>
      <c r="C290" s="35" t="s">
        <v>11</v>
      </c>
      <c r="D290" s="106">
        <f ca="1">IF(LEFT($A290,5)="blank",0,D$353+D$354+D$355+D$409+(VLOOKUP($A290,Dist1Frontier,COLUMN(D290),FALSE))-IF('Input Global'!D$64="yes",D258,0))</f>
        <v>6.3719017275711742</v>
      </c>
      <c r="E290" s="106">
        <f ca="1">IF(LEFT($A290,5)="blank",0,E$353+E$354+E$355+E$409+(VLOOKUP($A290,Dist1Frontier,COLUMN(E290),FALSE))-IF('Input Global'!E$64="yes",E258,0))</f>
        <v>7.9573343312611602</v>
      </c>
      <c r="F290" s="106">
        <f ca="1">IF(LEFT($A290,5)="blank",0,F$353+F$354+F$355+F$409+(VLOOKUP($A290,Dist1Frontier,COLUMN(F290),FALSE))-IF('Input Global'!F$64="yes",F258,0))</f>
        <v>6.308190580209736</v>
      </c>
      <c r="G290" s="106">
        <f ca="1">IF(LEFT($A290,5)="blank",0,G$353+G$354+G$355+G$409+(VLOOKUP($A290,Dist1Frontier,COLUMN(G290),FALSE))-IF('Input Global'!G$64="yes",G258,0))</f>
        <v>6.4048769050349073</v>
      </c>
      <c r="H290" s="106">
        <f ca="1">IF(LEFT($A290,5)="blank",0,H$353+H$354+H$355+H$409+(VLOOKUP($A290,Dist1Frontier,COLUMN(H290),FALSE))-IF('Input Global'!H$64="yes",H258,0))</f>
        <v>6.6264738436593777</v>
      </c>
    </row>
    <row r="291" spans="1:8" s="35" customFormat="1" x14ac:dyDescent="0.3">
      <c r="A291" s="35" t="str">
        <f ca="1">'Calc (Market Planning Case)'!$B$2</f>
        <v>Calc (Market Planning Case)</v>
      </c>
      <c r="B291" s="104" t="s">
        <v>24</v>
      </c>
      <c r="C291" s="35" t="s">
        <v>11</v>
      </c>
      <c r="D291" s="106">
        <f ca="1">IF(LEFT($A291,5)="blank",0,D$353+D$354+D$355+D$409+(VLOOKUP($A291,Dist1Frontier,COLUMN(D291),FALSE))-IF('Input Global'!D$64="yes",D259,0))</f>
        <v>6.3719017275711742</v>
      </c>
      <c r="E291" s="106">
        <f ca="1">IF(LEFT($A291,5)="blank",0,E$353+E$354+E$355+E$409+(VLOOKUP($A291,Dist1Frontier,COLUMN(E291),FALSE))-IF('Input Global'!E$64="yes",E259,0))</f>
        <v>7.9573343312611602</v>
      </c>
      <c r="F291" s="106">
        <f ca="1">IF(LEFT($A291,5)="blank",0,F$353+F$354+F$355+F$409+(VLOOKUP($A291,Dist1Frontier,COLUMN(F291),FALSE))-IF('Input Global'!F$64="yes",F259,0))</f>
        <v>6.308190580209736</v>
      </c>
      <c r="G291" s="106">
        <f ca="1">IF(LEFT($A291,5)="blank",0,G$353+G$354+G$355+G$409+(VLOOKUP($A291,Dist1Frontier,COLUMN(G291),FALSE))-IF('Input Global'!G$64="yes",G259,0))</f>
        <v>5.4082490543059114</v>
      </c>
      <c r="H291" s="106">
        <f ca="1">IF(LEFT($A291,5)="blank",0,H$353+H$354+H$355+H$409+(VLOOKUP($A291,Dist1Frontier,COLUMN(H291),FALSE))-IF('Input Global'!H$64="yes",H259,0))</f>
        <v>5.9793427092918243</v>
      </c>
    </row>
    <row r="292" spans="1:8" s="35" customFormat="1" x14ac:dyDescent="0.3">
      <c r="A292" s="35" t="str">
        <f ca="1">'Calc (Market Slow Rate)'!$B$2</f>
        <v>Calc (Market Slow Rate)</v>
      </c>
      <c r="B292" s="104" t="s">
        <v>24</v>
      </c>
      <c r="C292" s="35" t="s">
        <v>11</v>
      </c>
      <c r="D292" s="106">
        <f ca="1">IF(LEFT($A292,5)="blank",0,D$353+D$354+D$355+D$409+(VLOOKUP($A292,Dist1Frontier,COLUMN(D292),FALSE))-IF('Input Global'!D$64="yes",D260,0))</f>
        <v>6.3719017275711742</v>
      </c>
      <c r="E292" s="106">
        <f ca="1">IF(LEFT($A292,5)="blank",0,E$353+E$354+E$355+E$409+(VLOOKUP($A292,Dist1Frontier,COLUMN(E292),FALSE))-IF('Input Global'!E$64="yes",E260,0))</f>
        <v>7.9573343312611602</v>
      </c>
      <c r="F292" s="106">
        <f ca="1">IF(LEFT($A292,5)="blank",0,F$353+F$354+F$355+F$409+(VLOOKUP($A292,Dist1Frontier,COLUMN(F292),FALSE))-IF('Input Global'!F$64="yes",F260,0))</f>
        <v>6.308190580209736</v>
      </c>
      <c r="G292" s="106">
        <f ca="1">IF(LEFT($A292,5)="blank",0,G$353+G$354+G$355+G$409+(VLOOKUP($A292,Dist1Frontier,COLUMN(G292),FALSE))-IF('Input Global'!G$64="yes",G260,0))</f>
        <v>5.8190536444882364</v>
      </c>
      <c r="H292" s="106">
        <f ca="1">IF(LEFT($A292,5)="blank",0,H$353+H$354+H$355+H$409+(VLOOKUP($A292,Dist1Frontier,COLUMN(H292),FALSE))-IF('Input Global'!H$64="yes",H260,0))</f>
        <v>5.7395607664639661</v>
      </c>
    </row>
    <row r="293" spans="1:8" s="35" customFormat="1" x14ac:dyDescent="0.3">
      <c r="A293" s="38" t="str">
        <f>Dist2</f>
        <v>Powercor</v>
      </c>
      <c r="D293" s="39"/>
      <c r="E293" s="39"/>
      <c r="F293" s="39"/>
      <c r="G293" s="39"/>
      <c r="H293" s="39"/>
    </row>
    <row r="294" spans="1:8" s="35" customFormat="1" x14ac:dyDescent="0.3">
      <c r="A294" s="35" t="str">
        <f ca="1">'Calc (Jurisdiction)'!$B$2</f>
        <v>Calc (Jurisdiction)</v>
      </c>
      <c r="B294" s="104" t="s">
        <v>24</v>
      </c>
      <c r="C294" s="35" t="s">
        <v>11</v>
      </c>
      <c r="D294" s="80">
        <f ca="1">IF(LEFT($A294,5)="blank",0,D$364+D$365+D$366+D$409+(VLOOKUP($A294,dist2frontier,COLUMN(D294),FALSE))-IF('Input Global'!D$64="yes",D262,0))</f>
        <v>7.3737156102082615</v>
      </c>
      <c r="E294" s="106">
        <f ca="1">IF(LEFT($A294,5)="blank",0,E$364+E$365+E$366+E$409+(VLOOKUP($A294,dist2frontier,COLUMN(E294),FALSE))-IF('Input Global'!E$64="yes",E262,0))</f>
        <v>6.4762756316371908</v>
      </c>
      <c r="F294" s="106">
        <f ca="1">IF(LEFT($A294,5)="blank",0,F$364+F$365+F$366+F$409+(VLOOKUP($A294,dist2frontier,COLUMN(F294),FALSE))-IF('Input Global'!F$64="yes",F262,0))</f>
        <v>5.8424951560687717</v>
      </c>
      <c r="G294" s="106">
        <f ca="1">IF(LEFT($A294,5)="blank",0,G$364+G$365+G$366+G$409+(VLOOKUP($A294,dist2frontier,COLUMN(G294),FALSE))-IF('Input Global'!G$64="yes",G262,0))</f>
        <v>4.9689008702763244</v>
      </c>
      <c r="H294" s="106">
        <f ca="1">IF(LEFT($A294,5)="blank",0,H$364+H$365+H$366+H$409+(VLOOKUP($A294,dist2frontier,COLUMN(H294),FALSE))-IF('Input Global'!H$64="yes",H262,0))</f>
        <v>5.4955388993900973</v>
      </c>
    </row>
    <row r="295" spans="1:8" s="35" customFormat="1" x14ac:dyDescent="0.3">
      <c r="A295" s="35" t="str">
        <f ca="1">'Calc (LRMC Planning case)'!$B$2</f>
        <v>Calc (LRMC Planning case)</v>
      </c>
      <c r="B295" s="104" t="s">
        <v>24</v>
      </c>
      <c r="C295" s="35" t="s">
        <v>11</v>
      </c>
      <c r="D295" s="106">
        <f ca="1">IF(LEFT($A295,5)="blank",0,D$364+D$365+D$366+D$409+(VLOOKUP($A295,dist2frontier,COLUMN(D295),FALSE))-IF('Input Global'!D$64="yes",D263,0))</f>
        <v>7.3737156102082615</v>
      </c>
      <c r="E295" s="106">
        <f ca="1">IF(LEFT($A295,5)="blank",0,E$364+E$365+E$366+E$409+(VLOOKUP($A295,dist2frontier,COLUMN(E295),FALSE))-IF('Input Global'!E$64="yes",E263,0))</f>
        <v>6.4762756316371908</v>
      </c>
      <c r="F295" s="106">
        <f ca="1">IF(LEFT($A295,5)="blank",0,F$364+F$365+F$366+F$409+(VLOOKUP($A295,dist2frontier,COLUMN(F295),FALSE))-IF('Input Global'!F$64="yes",F263,0))</f>
        <v>5.8424951560687717</v>
      </c>
      <c r="G295" s="106">
        <f ca="1">IF(LEFT($A295,5)="blank",0,G$364+G$365+G$366+G$409+(VLOOKUP($A295,dist2frontier,COLUMN(G295),FALSE))-IF('Input Global'!G$64="yes",G263,0))</f>
        <v>5.7562994567428838</v>
      </c>
      <c r="H295" s="106">
        <f ca="1">IF(LEFT($A295,5)="blank",0,H$364+H$365+H$366+H$409+(VLOOKUP($A295,dist2frontier,COLUMN(H295),FALSE))-IF('Input Global'!H$64="yes",H263,0))</f>
        <v>5.9238219180846929</v>
      </c>
    </row>
    <row r="296" spans="1:8" s="35" customFormat="1" x14ac:dyDescent="0.3">
      <c r="A296" s="35" t="str">
        <f ca="1">'Calc (LRMC Slow Rate)'!$B$2</f>
        <v>Calc (LRMC Slow Rate)</v>
      </c>
      <c r="B296" s="104" t="s">
        <v>24</v>
      </c>
      <c r="C296" s="35" t="s">
        <v>11</v>
      </c>
      <c r="D296" s="106">
        <f ca="1">IF(LEFT($A296,5)="blank",0,D$364+D$365+D$366+D$409+(VLOOKUP($A296,dist2frontier,COLUMN(D296),FALSE))-IF('Input Global'!D$64="yes",D264,0))</f>
        <v>7.3737156102082615</v>
      </c>
      <c r="E296" s="106">
        <f ca="1">IF(LEFT($A296,5)="blank",0,E$364+E$365+E$366+E$409+(VLOOKUP($A296,dist2frontier,COLUMN(E296),FALSE))-IF('Input Global'!E$64="yes",E264,0))</f>
        <v>6.4762756316371908</v>
      </c>
      <c r="F296" s="106">
        <f ca="1">IF(LEFT($A296,5)="blank",0,F$364+F$365+F$366+F$409+(VLOOKUP($A296,dist2frontier,COLUMN(F296),FALSE))-IF('Input Global'!F$64="yes",F264,0))</f>
        <v>5.8424951560687717</v>
      </c>
      <c r="G296" s="106">
        <f ca="1">IF(LEFT($A296,5)="blank",0,G$364+G$365+G$366+G$409+(VLOOKUP($A296,dist2frontier,COLUMN(G296),FALSE))-IF('Input Global'!G$64="yes",G264,0))</f>
        <v>5.8805627943513379</v>
      </c>
      <c r="H296" s="106">
        <f ca="1">IF(LEFT($A296,5)="blank",0,H$364+H$365+H$366+H$409+(VLOOKUP($A296,dist2frontier,COLUMN(H296),FALSE))-IF('Input Global'!H$64="yes",H264,0))</f>
        <v>6.5085905377006306</v>
      </c>
    </row>
    <row r="297" spans="1:8" s="35" customFormat="1" x14ac:dyDescent="0.3">
      <c r="A297" s="35" t="str">
        <f ca="1">'Calc (Market Planning Case)'!$B$2</f>
        <v>Calc (Market Planning Case)</v>
      </c>
      <c r="B297" s="104" t="s">
        <v>24</v>
      </c>
      <c r="C297" s="35" t="s">
        <v>11</v>
      </c>
      <c r="D297" s="106">
        <f ca="1">IF(LEFT($A297,5)="blank",0,D$364+D$365+D$366+D$409+(VLOOKUP($A297,dist2frontier,COLUMN(D297),FALSE))-IF('Input Global'!D$64="yes",D265,0))</f>
        <v>7.3737156102082615</v>
      </c>
      <c r="E297" s="106">
        <f ca="1">IF(LEFT($A297,5)="blank",0,E$364+E$365+E$366+E$409+(VLOOKUP($A297,dist2frontier,COLUMN(E297),FALSE))-IF('Input Global'!E$64="yes",E265,0))</f>
        <v>6.4762756316371908</v>
      </c>
      <c r="F297" s="106">
        <f ca="1">IF(LEFT($A297,5)="blank",0,F$364+F$365+F$366+F$409+(VLOOKUP($A297,dist2frontier,COLUMN(F297),FALSE))-IF('Input Global'!F$64="yes",F265,0))</f>
        <v>5.8424951560687717</v>
      </c>
      <c r="G297" s="106">
        <f ca="1">IF(LEFT($A297,5)="blank",0,G$364+G$365+G$366+G$409+(VLOOKUP($A297,dist2frontier,COLUMN(G297),FALSE))-IF('Input Global'!G$64="yes",G265,0))</f>
        <v>4.9689008702763244</v>
      </c>
      <c r="H297" s="106">
        <f ca="1">IF(LEFT($A297,5)="blank",0,H$364+H$365+H$366+H$409+(VLOOKUP($A297,dist2frontier,COLUMN(H297),FALSE))-IF('Input Global'!H$64="yes",H265,0))</f>
        <v>5.4955388993900973</v>
      </c>
    </row>
    <row r="298" spans="1:8" s="35" customFormat="1" x14ac:dyDescent="0.3">
      <c r="A298" s="35" t="str">
        <f ca="1">'Calc (Market Slow Rate)'!$B$2</f>
        <v>Calc (Market Slow Rate)</v>
      </c>
      <c r="B298" s="104" t="s">
        <v>24</v>
      </c>
      <c r="C298" s="35" t="s">
        <v>11</v>
      </c>
      <c r="D298" s="106">
        <f ca="1">IF(LEFT($A298,5)="blank",0,D$364+D$365+D$366+D$409+(VLOOKUP($A298,dist2frontier,COLUMN(D298),FALSE))-IF('Input Global'!D$64="yes",D266,0))</f>
        <v>7.3737156102082615</v>
      </c>
      <c r="E298" s="106">
        <f ca="1">IF(LEFT($A298,5)="blank",0,E$364+E$365+E$366+E$409+(VLOOKUP($A298,dist2frontier,COLUMN(E298),FALSE))-IF('Input Global'!E$64="yes",E266,0))</f>
        <v>6.4762756316371908</v>
      </c>
      <c r="F298" s="106">
        <f ca="1">IF(LEFT($A298,5)="blank",0,F$364+F$365+F$366+F$409+(VLOOKUP($A298,dist2frontier,COLUMN(F298),FALSE))-IF('Input Global'!F$64="yes",F266,0))</f>
        <v>5.8424951560687717</v>
      </c>
      <c r="G298" s="106">
        <f ca="1">IF(LEFT($A298,5)="blank",0,G$364+G$365+G$366+G$409+(VLOOKUP($A298,dist2frontier,COLUMN(G298),FALSE))-IF('Input Global'!G$64="yes",G266,0))</f>
        <v>5.1489289788595336</v>
      </c>
      <c r="H298" s="106">
        <f ca="1">IF(LEFT($A298,5)="blank",0,H$364+H$365+H$366+H$409+(VLOOKUP($A298,dist2frontier,COLUMN(H298),FALSE))-IF('Input Global'!H$64="yes",H266,0))</f>
        <v>5.2816949541603666</v>
      </c>
    </row>
    <row r="299" spans="1:8" s="35" customFormat="1" x14ac:dyDescent="0.3">
      <c r="A299" s="38" t="str">
        <f>Dist3</f>
        <v>SP Ausnet</v>
      </c>
      <c r="D299" s="39"/>
      <c r="E299" s="39"/>
      <c r="F299" s="39"/>
      <c r="G299" s="39"/>
      <c r="H299" s="39"/>
    </row>
    <row r="300" spans="1:8" s="35" customFormat="1" x14ac:dyDescent="0.3">
      <c r="A300" s="35" t="str">
        <f ca="1">'Calc (Jurisdiction)'!$B$2</f>
        <v>Calc (Jurisdiction)</v>
      </c>
      <c r="B300" s="104" t="s">
        <v>24</v>
      </c>
      <c r="C300" s="35" t="s">
        <v>11</v>
      </c>
      <c r="D300" s="80">
        <f ca="1">IF(LEFT($A300,5)="blank",0,D$375+D$376+D$377+D$409+(VLOOKUP($A300,dist3frontier,COLUMN(D300),FALSE))-IF('Input Global'!D$64="yes",D268,0))</f>
        <v>7.8712430790518821</v>
      </c>
      <c r="E300" s="106">
        <f ca="1">IF(LEFT($A300,5)="blank",0,E$375+E$376+E$377+E$409+(VLOOKUP($A300,dist3frontier,COLUMN(E300),FALSE))-IF('Input Global'!E$64="yes",E268,0))</f>
        <v>6.9304639098128096</v>
      </c>
      <c r="F300" s="106">
        <f ca="1">IF(LEFT($A300,5)="blank",0,F$375+F$376+F$377+F$409+(VLOOKUP($A300,dist3frontier,COLUMN(F300),FALSE))-IF('Input Global'!F$64="yes",F268,0))</f>
        <v>6.3742510219228929</v>
      </c>
      <c r="G300" s="106">
        <f ca="1">IF(LEFT($A300,5)="blank",0,G$375+G$376+G$377+G$409+(VLOOKUP($A300,dist3frontier,COLUMN(G300),FALSE))-IF('Input Global'!G$64="yes",G268,0))</f>
        <v>5.3497210608714685</v>
      </c>
      <c r="H300" s="106">
        <f ca="1">IF(LEFT($A300,5)="blank",0,H$375+H$376+H$377+H$409+(VLOOKUP($A300,dist3frontier,COLUMN(H300),FALSE))-IF('Input Global'!H$64="yes",H268,0))</f>
        <v>5.8881332715411956</v>
      </c>
    </row>
    <row r="301" spans="1:8" s="35" customFormat="1" x14ac:dyDescent="0.3">
      <c r="A301" s="35" t="str">
        <f ca="1">'Calc (LRMC Planning case)'!$B$2</f>
        <v>Calc (LRMC Planning case)</v>
      </c>
      <c r="B301" s="104" t="s">
        <v>24</v>
      </c>
      <c r="C301" s="35" t="s">
        <v>11</v>
      </c>
      <c r="D301" s="106">
        <f ca="1">IF(LEFT($A301,5)="blank",0,D$375+D$376+D$377+D$409+(VLOOKUP($A301,dist3frontier,COLUMN(D301),FALSE))-IF('Input Global'!D$64="yes",D269,0))</f>
        <v>7.8712430790518821</v>
      </c>
      <c r="E301" s="106">
        <f ca="1">IF(LEFT($A301,5)="blank",0,E$375+E$376+E$377+E$409+(VLOOKUP($A301,dist3frontier,COLUMN(E301),FALSE))-IF('Input Global'!E$64="yes",E269,0))</f>
        <v>6.9304639098128096</v>
      </c>
      <c r="F301" s="106">
        <f ca="1">IF(LEFT($A301,5)="blank",0,F$375+F$376+F$377+F$409+(VLOOKUP($A301,dist3frontier,COLUMN(F301),FALSE))-IF('Input Global'!F$64="yes",F269,0))</f>
        <v>6.3742510219228929</v>
      </c>
      <c r="G301" s="106">
        <f ca="1">IF(LEFT($A301,5)="blank",0,G$375+G$376+G$377+G$409+(VLOOKUP($A301,dist3frontier,COLUMN(G301),FALSE))-IF('Input Global'!G$64="yes",G269,0))</f>
        <v>6.1423265414044943</v>
      </c>
      <c r="H301" s="106">
        <f ca="1">IF(LEFT($A301,5)="blank",0,H$375+H$376+H$377+H$409+(VLOOKUP($A301,dist3frontier,COLUMN(H301),FALSE))-IF('Input Global'!H$64="yes",H269,0))</f>
        <v>6.4523098507577812</v>
      </c>
    </row>
    <row r="302" spans="1:8" s="35" customFormat="1" x14ac:dyDescent="0.3">
      <c r="A302" s="35" t="str">
        <f ca="1">'Calc (LRMC Slow Rate)'!$B$2</f>
        <v>Calc (LRMC Slow Rate)</v>
      </c>
      <c r="B302" s="104" t="s">
        <v>24</v>
      </c>
      <c r="C302" s="35" t="s">
        <v>11</v>
      </c>
      <c r="D302" s="106">
        <f ca="1">IF(LEFT($A302,5)="blank",0,D$375+D$376+D$377+D$409+(VLOOKUP($A302,dist3frontier,COLUMN(D302),FALSE))-IF('Input Global'!D$64="yes",D270,0))</f>
        <v>7.8712430790518821</v>
      </c>
      <c r="E302" s="106">
        <f ca="1">IF(LEFT($A302,5)="blank",0,E$375+E$376+E$377+E$409+(VLOOKUP($A302,dist3frontier,COLUMN(E302),FALSE))-IF('Input Global'!E$64="yes",E270,0))</f>
        <v>6.9304639098128096</v>
      </c>
      <c r="F302" s="106">
        <f ca="1">IF(LEFT($A302,5)="blank",0,F$375+F$376+F$377+F$409+(VLOOKUP($A302,dist3frontier,COLUMN(F302),FALSE))-IF('Input Global'!F$64="yes",F270,0))</f>
        <v>6.3742510219228929</v>
      </c>
      <c r="G302" s="106">
        <f ca="1">IF(LEFT($A302,5)="blank",0,G$375+G$376+G$377+G$409+(VLOOKUP($A302,dist3frontier,COLUMN(G302),FALSE))-IF('Input Global'!G$64="yes",G270,0))</f>
        <v>6.2120241875591953</v>
      </c>
      <c r="H302" s="106">
        <f ca="1">IF(LEFT($A302,5)="blank",0,H$375+H$376+H$377+H$409+(VLOOKUP($A302,dist3frontier,COLUMN(H302),FALSE))-IF('Input Global'!H$64="yes",H270,0))</f>
        <v>6.4875735709436446</v>
      </c>
    </row>
    <row r="303" spans="1:8" s="35" customFormat="1" x14ac:dyDescent="0.3">
      <c r="A303" s="35" t="str">
        <f ca="1">'Calc (Market Planning Case)'!$B$2</f>
        <v>Calc (Market Planning Case)</v>
      </c>
      <c r="B303" s="104" t="s">
        <v>24</v>
      </c>
      <c r="C303" s="35" t="s">
        <v>11</v>
      </c>
      <c r="D303" s="106">
        <f ca="1">IF(LEFT($A303,5)="blank",0,D$375+D$376+D$377+D$409+(VLOOKUP($A303,dist3frontier,COLUMN(D303),FALSE))-IF('Input Global'!D$64="yes",D271,0))</f>
        <v>7.8712430790518821</v>
      </c>
      <c r="E303" s="106">
        <f ca="1">IF(LEFT($A303,5)="blank",0,E$375+E$376+E$377+E$409+(VLOOKUP($A303,dist3frontier,COLUMN(E303),FALSE))-IF('Input Global'!E$64="yes",E271,0))</f>
        <v>6.9304639098128096</v>
      </c>
      <c r="F303" s="106">
        <f ca="1">IF(LEFT($A303,5)="blank",0,F$375+F$376+F$377+F$409+(VLOOKUP($A303,dist3frontier,COLUMN(F303),FALSE))-IF('Input Global'!F$64="yes",F271,0))</f>
        <v>6.3742510219228929</v>
      </c>
      <c r="G303" s="106">
        <f ca="1">IF(LEFT($A303,5)="blank",0,G$375+G$376+G$377+G$409+(VLOOKUP($A303,dist3frontier,COLUMN(G303),FALSE))-IF('Input Global'!G$64="yes",G271,0))</f>
        <v>5.3497210608714685</v>
      </c>
      <c r="H303" s="106">
        <f ca="1">IF(LEFT($A303,5)="blank",0,H$375+H$376+H$377+H$409+(VLOOKUP($A303,dist3frontier,COLUMN(H303),FALSE))-IF('Input Global'!H$64="yes",H271,0))</f>
        <v>5.8881332715411956</v>
      </c>
    </row>
    <row r="304" spans="1:8" s="35" customFormat="1" x14ac:dyDescent="0.3">
      <c r="A304" s="35" t="str">
        <f ca="1">'Calc (Market Slow Rate)'!$B$2</f>
        <v>Calc (Market Slow Rate)</v>
      </c>
      <c r="B304" s="104" t="s">
        <v>24</v>
      </c>
      <c r="C304" s="35" t="s">
        <v>11</v>
      </c>
      <c r="D304" s="106">
        <f ca="1">IF(LEFT($A304,5)="blank",0,D$375+D$376+D$377+D$409+(VLOOKUP($A304,dist3frontier,COLUMN(D304),FALSE))-IF('Input Global'!D$64="yes",D272,0))</f>
        <v>7.8712430790518821</v>
      </c>
      <c r="E304" s="106">
        <f ca="1">IF(LEFT($A304,5)="blank",0,E$375+E$376+E$377+E$409+(VLOOKUP($A304,dist3frontier,COLUMN(E304),FALSE))-IF('Input Global'!E$64="yes",E272,0))</f>
        <v>6.9304639098128096</v>
      </c>
      <c r="F304" s="106">
        <f ca="1">IF(LEFT($A304,5)="blank",0,F$375+F$376+F$377+F$409+(VLOOKUP($A304,dist3frontier,COLUMN(F304),FALSE))-IF('Input Global'!F$64="yes",F272,0))</f>
        <v>6.3742510219228929</v>
      </c>
      <c r="G304" s="106">
        <f ca="1">IF(LEFT($A304,5)="blank",0,G$375+G$376+G$377+G$409+(VLOOKUP($A304,dist3frontier,COLUMN(G304),FALSE))-IF('Input Global'!G$64="yes",G272,0))</f>
        <v>5.5285432128878353</v>
      </c>
      <c r="H304" s="106">
        <f ca="1">IF(LEFT($A304,5)="blank",0,H$375+H$376+H$377+H$409+(VLOOKUP($A304,dist3frontier,COLUMN(H304),FALSE))-IF('Input Global'!H$64="yes",H272,0))</f>
        <v>5.6581095244576103</v>
      </c>
    </row>
    <row r="305" spans="1:14" s="35" customFormat="1" x14ac:dyDescent="0.3">
      <c r="A305" s="38" t="str">
        <f>Dist4</f>
        <v>United</v>
      </c>
      <c r="D305" s="39"/>
      <c r="E305" s="39"/>
      <c r="F305" s="39"/>
      <c r="G305" s="39"/>
      <c r="H305" s="39"/>
    </row>
    <row r="306" spans="1:14" s="35" customFormat="1" x14ac:dyDescent="0.3">
      <c r="A306" s="35" t="str">
        <f ca="1">'Calc (Jurisdiction)'!$B$2</f>
        <v>Calc (Jurisdiction)</v>
      </c>
      <c r="B306" s="104" t="s">
        <v>24</v>
      </c>
      <c r="C306" s="35" t="s">
        <v>11</v>
      </c>
      <c r="D306" s="80">
        <f ca="1">IF(LEFT($A306,5)="blank",0,D$386+D$387+D$388+D$409+(VLOOKUP($A306,Dist4frontier,COLUMN(D306),FALSE))-IF('Input Global'!D$64="yes",D274,0))</f>
        <v>7.9244250313030822</v>
      </c>
      <c r="E306" s="106">
        <f ca="1">IF(LEFT($A306,5)="blank",0,E$386+E$387+E$388+E$409+(VLOOKUP($A306,Dist4frontier,COLUMN(E306),FALSE))-IF('Input Global'!E$64="yes",E274,0))</f>
        <v>6.9579658691689685</v>
      </c>
      <c r="F306" s="106">
        <f ca="1">IF(LEFT($A306,5)="blank",0,F$386+F$387+F$388+F$409+(VLOOKUP($A306,Dist4frontier,COLUMN(F306),FALSE))-IF('Input Global'!F$64="yes",F274,0))</f>
        <v>6.4477145017820234</v>
      </c>
      <c r="G306" s="106">
        <f ca="1">IF(LEFT($A306,5)="blank",0,G$386+G$387+G$388+G$409+(VLOOKUP($A306,Dist4frontier,COLUMN(G306),FALSE))-IF('Input Global'!G$64="yes",G274,0))</f>
        <v>5.5175674831749841</v>
      </c>
      <c r="H306" s="106">
        <f ca="1">IF(LEFT($A306,5)="blank",0,H$386+H$387+H$388+H$409+(VLOOKUP($A306,Dist4frontier,COLUMN(H306),FALSE))-IF('Input Global'!H$64="yes",H274,0))</f>
        <v>6.0969442005212242</v>
      </c>
    </row>
    <row r="307" spans="1:14" s="35" customFormat="1" x14ac:dyDescent="0.3">
      <c r="A307" s="35" t="str">
        <f ca="1">'Calc (LRMC Planning case)'!$B$2</f>
        <v>Calc (LRMC Planning case)</v>
      </c>
      <c r="B307" s="104" t="s">
        <v>24</v>
      </c>
      <c r="C307" s="35" t="s">
        <v>11</v>
      </c>
      <c r="D307" s="106">
        <f ca="1">IF(LEFT($A307,5)="blank",0,D$386+D$387+D$388+D$409+(VLOOKUP($A307,Dist4frontier,COLUMN(D307),FALSE))-IF('Input Global'!D$64="yes",D275,0))</f>
        <v>7.9244250313030822</v>
      </c>
      <c r="E307" s="106">
        <f ca="1">IF(LEFT($A307,5)="blank",0,E$386+E$387+E$388+E$409+(VLOOKUP($A307,Dist4frontier,COLUMN(E307),FALSE))-IF('Input Global'!E$64="yes",E275,0))</f>
        <v>6.9579658691689685</v>
      </c>
      <c r="F307" s="106">
        <f ca="1">IF(LEFT($A307,5)="blank",0,F$386+F$387+F$388+F$409+(VLOOKUP($A307,Dist4frontier,COLUMN(F307),FALSE))-IF('Input Global'!F$64="yes",F275,0))</f>
        <v>6.4477145017820234</v>
      </c>
      <c r="G307" s="106">
        <f ca="1">IF(LEFT($A307,5)="blank",0,G$386+G$387+G$388+G$409+(VLOOKUP($A307,Dist4frontier,COLUMN(G307),FALSE))-IF('Input Global'!G$64="yes",G275,0))</f>
        <v>6.3663087828274936</v>
      </c>
      <c r="H307" s="106">
        <f ca="1">IF(LEFT($A307,5)="blank",0,H$386+H$387+H$388+H$409+(VLOOKUP($A307,Dist4frontier,COLUMN(H307),FALSE))-IF('Input Global'!H$64="yes",H275,0))</f>
        <v>6.6781017426893641</v>
      </c>
    </row>
    <row r="308" spans="1:14" s="35" customFormat="1" x14ac:dyDescent="0.3">
      <c r="A308" s="35" t="str">
        <f ca="1">'Calc (LRMC Slow Rate)'!$B$2</f>
        <v>Calc (LRMC Slow Rate)</v>
      </c>
      <c r="B308" s="104" t="s">
        <v>24</v>
      </c>
      <c r="C308" s="35" t="s">
        <v>11</v>
      </c>
      <c r="D308" s="106">
        <f ca="1">IF(LEFT($A308,5)="blank",0,D$386+D$387+D$388+D$409+(VLOOKUP($A308,Dist4frontier,COLUMN(D308),FALSE))-IF('Input Global'!D$64="yes",D276,0))</f>
        <v>7.9244250313030822</v>
      </c>
      <c r="E308" s="106">
        <f ca="1">IF(LEFT($A308,5)="blank",0,E$386+E$387+E$388+E$409+(VLOOKUP($A308,Dist4frontier,COLUMN(E308),FALSE))-IF('Input Global'!E$64="yes",E276,0))</f>
        <v>6.9579658691689685</v>
      </c>
      <c r="F308" s="106">
        <f ca="1">IF(LEFT($A308,5)="blank",0,F$386+F$387+F$388+F$409+(VLOOKUP($A308,Dist4frontier,COLUMN(F308),FALSE))-IF('Input Global'!F$64="yes",F276,0))</f>
        <v>6.4477145017820234</v>
      </c>
      <c r="G308" s="106">
        <f ca="1">IF(LEFT($A308,5)="blank",0,G$386+G$387+G$388+G$409+(VLOOKUP($A308,Dist4frontier,COLUMN(G308),FALSE))-IF('Input Global'!G$64="yes",G276,0))</f>
        <v>6.4956987998607918</v>
      </c>
      <c r="H308" s="106">
        <f ca="1">IF(LEFT($A308,5)="blank",0,H$386+H$387+H$388+H$409+(VLOOKUP($A308,Dist4frontier,COLUMN(H308),FALSE))-IF('Input Global'!H$64="yes",H276,0))</f>
        <v>6.7155145592225498</v>
      </c>
    </row>
    <row r="309" spans="1:14" s="35" customFormat="1" x14ac:dyDescent="0.3">
      <c r="A309" s="35" t="str">
        <f ca="1">'Calc (Market Planning Case)'!$B$2</f>
        <v>Calc (Market Planning Case)</v>
      </c>
      <c r="B309" s="104" t="s">
        <v>24</v>
      </c>
      <c r="C309" s="35" t="s">
        <v>11</v>
      </c>
      <c r="D309" s="106">
        <f ca="1">IF(LEFT($A309,5)="blank",0,D$386+D$387+D$388+D$409+(VLOOKUP($A309,Dist4frontier,COLUMN(D309),FALSE))-IF('Input Global'!D$64="yes",D277,0))</f>
        <v>7.9244250313030822</v>
      </c>
      <c r="E309" s="106">
        <f ca="1">IF(LEFT($A309,5)="blank",0,E$386+E$387+E$388+E$409+(VLOOKUP($A309,Dist4frontier,COLUMN(E309),FALSE))-IF('Input Global'!E$64="yes",E277,0))</f>
        <v>6.9579658691689685</v>
      </c>
      <c r="F309" s="106">
        <f ca="1">IF(LEFT($A309,5)="blank",0,F$386+F$387+F$388+F$409+(VLOOKUP($A309,Dist4frontier,COLUMN(F309),FALSE))-IF('Input Global'!F$64="yes",F277,0))</f>
        <v>6.4477145017820234</v>
      </c>
      <c r="G309" s="106">
        <f ca="1">IF(LEFT($A309,5)="blank",0,G$386+G$387+G$388+G$409+(VLOOKUP($A309,Dist4frontier,COLUMN(G309),FALSE))-IF('Input Global'!G$64="yes",G277,0))</f>
        <v>5.5175674831749841</v>
      </c>
      <c r="H309" s="106">
        <f ca="1">IF(LEFT($A309,5)="blank",0,H$386+H$387+H$388+H$409+(VLOOKUP($A309,Dist4frontier,COLUMN(H309),FALSE))-IF('Input Global'!H$64="yes",H277,0))</f>
        <v>6.0969442005212242</v>
      </c>
    </row>
    <row r="310" spans="1:14" s="35" customFormat="1" x14ac:dyDescent="0.3">
      <c r="A310" s="35" t="str">
        <f ca="1">'Calc (Market Slow Rate)'!$B$2</f>
        <v>Calc (Market Slow Rate)</v>
      </c>
      <c r="B310" s="104" t="s">
        <v>24</v>
      </c>
      <c r="C310" s="35" t="s">
        <v>11</v>
      </c>
      <c r="D310" s="106">
        <f ca="1">IF(LEFT($A310,5)="blank",0,D$386+D$387+D$388+D$409+(VLOOKUP($A310,Dist4frontier,COLUMN(D310),FALSE))-IF('Input Global'!D$64="yes",D278,0))</f>
        <v>7.9244250313030822</v>
      </c>
      <c r="E310" s="106">
        <f ca="1">IF(LEFT($A310,5)="blank",0,E$386+E$387+E$388+E$409+(VLOOKUP($A310,Dist4frontier,COLUMN(E310),FALSE))-IF('Input Global'!E$64="yes",E278,0))</f>
        <v>6.9579658691689685</v>
      </c>
      <c r="F310" s="106">
        <f ca="1">IF(LEFT($A310,5)="blank",0,F$386+F$387+F$388+F$409+(VLOOKUP($A310,Dist4frontier,COLUMN(F310),FALSE))-IF('Input Global'!F$64="yes",F278,0))</f>
        <v>6.4477145017820234</v>
      </c>
      <c r="G310" s="106">
        <f ca="1">IF(LEFT($A310,5)="blank",0,G$386+G$387+G$388+G$409+(VLOOKUP($A310,Dist4frontier,COLUMN(G310),FALSE))-IF('Input Global'!G$64="yes",G278,0))</f>
        <v>5.7198102798789456</v>
      </c>
      <c r="H310" s="106">
        <f ca="1">IF(LEFT($A310,5)="blank",0,H$386+H$387+H$388+H$409+(VLOOKUP($A310,Dist4frontier,COLUMN(H310),FALSE))-IF('Input Global'!H$64="yes",H278,0))</f>
        <v>5.8480575614112524</v>
      </c>
    </row>
    <row r="311" spans="1:14" s="35" customFormat="1" x14ac:dyDescent="0.3">
      <c r="A311" s="38" t="str">
        <f>Dist5</f>
        <v>Jemena</v>
      </c>
      <c r="D311" s="39"/>
      <c r="E311" s="39"/>
      <c r="F311" s="39"/>
      <c r="G311" s="39"/>
      <c r="H311" s="39"/>
    </row>
    <row r="312" spans="1:14" s="35" customFormat="1" x14ac:dyDescent="0.3">
      <c r="A312" s="35" t="str">
        <f ca="1">'Calc (Jurisdiction)'!$B$2</f>
        <v>Calc (Jurisdiction)</v>
      </c>
      <c r="B312" s="104" t="s">
        <v>24</v>
      </c>
      <c r="C312" s="35" t="s">
        <v>11</v>
      </c>
      <c r="D312" s="80">
        <f ca="1">IF(LEFT($A312,5)="blank",0,D$397+D$398+D$399+D$409+(VLOOKUP($A312,dist5frontier,COLUMN(D312),FALSE))-IF('Input Global'!D$64="yes",D281,0))</f>
        <v>7.8082776975079664</v>
      </c>
      <c r="E312" s="106">
        <f ca="1">IF(LEFT($A312,5)="blank",0,E$397+E$398+E$399+E$409+(VLOOKUP($A312,dist5frontier,COLUMN(E312),FALSE))-IF('Input Global'!E$64="yes",E281,0))</f>
        <v>6.8566442325761159</v>
      </c>
      <c r="F312" s="106">
        <f ca="1">IF(LEFT($A312,5)="blank",0,F$397+F$398+F$399+F$409+(VLOOKUP($A312,dist5frontier,COLUMN(F312),FALSE))-IF('Input Global'!F$64="yes",F281,0))</f>
        <v>6.3198581387693586</v>
      </c>
      <c r="G312" s="106">
        <f ca="1">IF(LEFT($A312,5)="blank",0,G$397+G$398+G$399+G$409+(VLOOKUP($A312,dist5frontier,COLUMN(G312),FALSE))-IF('Input Global'!G$64="yes",G281,0))</f>
        <v>5.5525054805429335</v>
      </c>
      <c r="H312" s="106">
        <f ca="1">IF(LEFT($A312,5)="blank",0,H$397+H$398+H$399+H$409+(VLOOKUP($A312,dist5frontier,COLUMN(H312),FALSE))-IF('Input Global'!H$64="yes",H281,0))</f>
        <v>5.9479846924173181</v>
      </c>
    </row>
    <row r="313" spans="1:14" s="35" customFormat="1" x14ac:dyDescent="0.3">
      <c r="A313" s="35" t="str">
        <f ca="1">'Calc (LRMC Planning case)'!$B$2</f>
        <v>Calc (LRMC Planning case)</v>
      </c>
      <c r="B313" s="104" t="s">
        <v>24</v>
      </c>
      <c r="C313" s="35" t="s">
        <v>11</v>
      </c>
      <c r="D313" s="106">
        <f ca="1">IF(LEFT($A313,5)="blank",0,D$397+D$398+D$399+D$409+(VLOOKUP($A313,dist5frontier,COLUMN(D313),FALSE))-IF('Input Global'!D$64="yes",D282,0))</f>
        <v>7.8082776975079664</v>
      </c>
      <c r="E313" s="106">
        <f ca="1">IF(LEFT($A313,5)="blank",0,E$397+E$398+E$399+E$409+(VLOOKUP($A313,dist5frontier,COLUMN(E313),FALSE))-IF('Input Global'!E$64="yes",E282,0))</f>
        <v>6.8566442325761159</v>
      </c>
      <c r="F313" s="106">
        <f ca="1">IF(LEFT($A313,5)="blank",0,F$397+F$398+F$399+F$409+(VLOOKUP($A313,dist5frontier,COLUMN(F313),FALSE))-IF('Input Global'!F$64="yes",F282,0))</f>
        <v>6.3198581387693586</v>
      </c>
      <c r="G313" s="106">
        <f ca="1">IF(LEFT($A313,5)="blank",0,G$397+G$398+G$399+G$409+(VLOOKUP($A313,dist5frontier,COLUMN(G313),FALSE))-IF('Input Global'!G$64="yes",G282,0))</f>
        <v>6.2294554522365182</v>
      </c>
      <c r="H313" s="106">
        <f ca="1">IF(LEFT($A313,5)="blank",0,H$397+H$398+H$399+H$409+(VLOOKUP($A313,dist5frontier,COLUMN(H313),FALSE))-IF('Input Global'!H$64="yes",H282,0))</f>
        <v>6.5386319535157327</v>
      </c>
    </row>
    <row r="314" spans="1:14" s="35" customFormat="1" x14ac:dyDescent="0.3">
      <c r="A314" s="35" t="str">
        <f ca="1">'Calc (LRMC Slow Rate)'!$B$2</f>
        <v>Calc (LRMC Slow Rate)</v>
      </c>
      <c r="B314" s="104" t="s">
        <v>24</v>
      </c>
      <c r="C314" s="35" t="s">
        <v>11</v>
      </c>
      <c r="D314" s="106">
        <f ca="1">IF(LEFT($A314,5)="blank",0,D$397+D$398+D$399+D$409+(VLOOKUP($A314,dist5frontier,COLUMN(D314),FALSE))-IF('Input Global'!D$64="yes",D283,0))</f>
        <v>7.8082776975079664</v>
      </c>
      <c r="E314" s="106">
        <f ca="1">IF(LEFT($A314,5)="blank",0,E$397+E$398+E$399+E$409+(VLOOKUP($A314,dist5frontier,COLUMN(E314),FALSE))-IF('Input Global'!E$64="yes",E283,0))</f>
        <v>6.8566442325761159</v>
      </c>
      <c r="F314" s="106">
        <f ca="1">IF(LEFT($A314,5)="blank",0,F$397+F$398+F$399+F$409+(VLOOKUP($A314,dist5frontier,COLUMN(F314),FALSE))-IF('Input Global'!F$64="yes",F283,0))</f>
        <v>6.3198581387693586</v>
      </c>
      <c r="G314" s="106">
        <f ca="1">IF(LEFT($A314,5)="blank",0,G$397+G$398+G$399+G$409+(VLOOKUP($A314,dist5frontier,COLUMN(G314),FALSE))-IF('Input Global'!G$64="yes",G283,0))</f>
        <v>5.9778973975963385</v>
      </c>
      <c r="H314" s="106">
        <f ca="1">IF(LEFT($A314,5)="blank",0,H$397+H$398+H$399+H$409+(VLOOKUP($A314,dist5frontier,COLUMN(H314),FALSE))-IF('Input Global'!H$64="yes",H283,0))</f>
        <v>6.1457093330942936</v>
      </c>
    </row>
    <row r="315" spans="1:14" s="35" customFormat="1" x14ac:dyDescent="0.3">
      <c r="A315" s="35" t="str">
        <f ca="1">'Calc (Market Planning Case)'!$B$2</f>
        <v>Calc (Market Planning Case)</v>
      </c>
      <c r="B315" s="104" t="s">
        <v>24</v>
      </c>
      <c r="C315" s="35" t="s">
        <v>11</v>
      </c>
      <c r="D315" s="106">
        <f ca="1">IF(LEFT($A315,5)="blank",0,D$397+D$398+D$399+D$409+(VLOOKUP($A315,dist5frontier,COLUMN(D315),FALSE))-IF('Input Global'!D$64="yes",D284,0))</f>
        <v>7.8082776975079664</v>
      </c>
      <c r="E315" s="106">
        <f ca="1">IF(LEFT($A315,5)="blank",0,E$397+E$398+E$399+E$409+(VLOOKUP($A315,dist5frontier,COLUMN(E315),FALSE))-IF('Input Global'!E$64="yes",E284,0))</f>
        <v>6.8566442325761159</v>
      </c>
      <c r="F315" s="106">
        <f ca="1">IF(LEFT($A315,5)="blank",0,F$397+F$398+F$399+F$409+(VLOOKUP($A315,dist5frontier,COLUMN(F315),FALSE))-IF('Input Global'!F$64="yes",F284,0))</f>
        <v>6.3198581387693586</v>
      </c>
      <c r="G315" s="106">
        <f ca="1">IF(LEFT($A315,5)="blank",0,G$397+G$398+G$399+G$409+(VLOOKUP($A315,dist5frontier,COLUMN(G315),FALSE))-IF('Input Global'!G$64="yes",G284,0))</f>
        <v>5.2456569589285929</v>
      </c>
      <c r="H315" s="106">
        <f ca="1">IF(LEFT($A315,5)="blank",0,H$397+H$398+H$399+H$409+(VLOOKUP($A315,dist5frontier,COLUMN(H315),FALSE))-IF('Input Global'!H$64="yes",H284,0))</f>
        <v>5.9195944160896481</v>
      </c>
    </row>
    <row r="316" spans="1:14" s="35" customFormat="1" x14ac:dyDescent="0.3">
      <c r="A316" s="35" t="str">
        <f ca="1">'Calc (Market Slow Rate)'!$B$2</f>
        <v>Calc (Market Slow Rate)</v>
      </c>
      <c r="B316" s="104" t="s">
        <v>24</v>
      </c>
      <c r="C316" s="35" t="s">
        <v>11</v>
      </c>
      <c r="D316" s="106">
        <f ca="1">IF(LEFT($A316,5)="blank",0,D$397+D$398+D$399+D$409+(VLOOKUP($A316,dist5frontier,COLUMN(D316),FALSE))-IF('Input Global'!D$64="yes",D285,0))</f>
        <v>7.8082776975079664</v>
      </c>
      <c r="E316" s="106">
        <f ca="1">IF(LEFT($A316,5)="blank",0,E$397+E$398+E$399+E$409+(VLOOKUP($A316,dist5frontier,COLUMN(E316),FALSE))-IF('Input Global'!E$64="yes",E285,0))</f>
        <v>6.8566442325761159</v>
      </c>
      <c r="F316" s="106">
        <f ca="1">IF(LEFT($A316,5)="blank",0,F$397+F$398+F$399+F$409+(VLOOKUP($A316,dist5frontier,COLUMN(F316),FALSE))-IF('Input Global'!F$64="yes",F285,0))</f>
        <v>8.5598581387693589</v>
      </c>
      <c r="G316" s="106">
        <f ca="1">IF(LEFT($A316,5)="blank",0,G$397+G$398+G$399+G$409+(VLOOKUP($A316,dist5frontier,COLUMN(G316),FALSE))-IF('Input Global'!G$64="yes",G285,0))</f>
        <v>8.2490263196358491</v>
      </c>
      <c r="H316" s="106">
        <f ca="1">IF(LEFT($A316,5)="blank",0,H$397+H$398+H$399+H$409+(VLOOKUP($A316,dist5frontier,COLUMN(H316),FALSE))-IF('Input Global'!H$64="yes",H285,0))</f>
        <v>8.2156359210535914</v>
      </c>
    </row>
    <row r="317" spans="1:14" s="35" customFormat="1" x14ac:dyDescent="0.3"/>
    <row r="318" spans="1:14" s="35" customFormat="1" x14ac:dyDescent="0.3">
      <c r="A318" s="21" t="s">
        <v>88</v>
      </c>
    </row>
    <row r="319" spans="1:14" s="35" customFormat="1" x14ac:dyDescent="0.3">
      <c r="A319" s="38" t="str">
        <f>Dist1</f>
        <v>Citipower</v>
      </c>
      <c r="K319" s="45"/>
      <c r="L319" s="45"/>
      <c r="M319" s="45"/>
      <c r="N319" s="45"/>
    </row>
    <row r="320" spans="1:14" s="35" customFormat="1" x14ac:dyDescent="0.3">
      <c r="A320" s="35" t="str">
        <f ca="1">'Calc (Jurisdiction)'!$B$2</f>
        <v>Calc (Jurisdiction)</v>
      </c>
      <c r="B320" s="104" t="s">
        <v>24</v>
      </c>
      <c r="C320" s="35" t="s">
        <v>11</v>
      </c>
      <c r="D320" s="80">
        <f t="shared" ref="D320:H324" ca="1" si="46">IF(LEFT($A320,5)="blank",0,IF($C$357="$/mWh",D$357*100/1000,IF($C$357="$/kwh",D$357*100,D$357))+(VLOOKUP($A320,dist1LRET,COLUMN(D320),FALSE)))</f>
        <v>0.25473754178777863</v>
      </c>
      <c r="E320" s="80">
        <f t="shared" ca="1" si="46"/>
        <v>0.44267417909205159</v>
      </c>
      <c r="F320" s="80">
        <f t="shared" ca="1" si="46"/>
        <v>0.6628193665535661</v>
      </c>
      <c r="G320" s="80">
        <f t="shared" ca="1" si="46"/>
        <v>0.71024842650382625</v>
      </c>
      <c r="H320" s="80">
        <f t="shared" ca="1" si="46"/>
        <v>0.75212223266646072</v>
      </c>
      <c r="K320" s="50"/>
      <c r="L320" s="50"/>
      <c r="M320" s="50"/>
      <c r="N320" s="50"/>
    </row>
    <row r="321" spans="1:8" s="35" customFormat="1" x14ac:dyDescent="0.3">
      <c r="A321" s="35" t="str">
        <f ca="1">'Calc (LRMC Planning case)'!$B$2</f>
        <v>Calc (LRMC Planning case)</v>
      </c>
      <c r="B321" s="104" t="s">
        <v>24</v>
      </c>
      <c r="C321" s="35" t="s">
        <v>11</v>
      </c>
      <c r="D321" s="80">
        <f t="shared" ca="1" si="46"/>
        <v>0.25473754178777863</v>
      </c>
      <c r="E321" s="80">
        <f t="shared" ca="1" si="46"/>
        <v>0.44267417909205159</v>
      </c>
      <c r="F321" s="80">
        <f t="shared" ca="1" si="46"/>
        <v>0.6628193665535661</v>
      </c>
      <c r="G321" s="80">
        <f t="shared" ca="1" si="46"/>
        <v>0.71024842650382625</v>
      </c>
      <c r="H321" s="80">
        <f t="shared" ca="1" si="46"/>
        <v>0.75212223266646072</v>
      </c>
    </row>
    <row r="322" spans="1:8" s="35" customFormat="1" x14ac:dyDescent="0.3">
      <c r="A322" s="35" t="str">
        <f ca="1">'Calc (LRMC Slow Rate)'!$B$2</f>
        <v>Calc (LRMC Slow Rate)</v>
      </c>
      <c r="B322" s="104" t="s">
        <v>24</v>
      </c>
      <c r="C322" s="35" t="s">
        <v>11</v>
      </c>
      <c r="D322" s="80">
        <f t="shared" ca="1" si="46"/>
        <v>0.25473754178777863</v>
      </c>
      <c r="E322" s="80">
        <f t="shared" ca="1" si="46"/>
        <v>0.44267417909205159</v>
      </c>
      <c r="F322" s="80">
        <f t="shared" ca="1" si="46"/>
        <v>0.6628193665535661</v>
      </c>
      <c r="G322" s="80">
        <f t="shared" ca="1" si="46"/>
        <v>0.71024845158378358</v>
      </c>
      <c r="H322" s="80">
        <f t="shared" ca="1" si="46"/>
        <v>0.75212214575245984</v>
      </c>
    </row>
    <row r="323" spans="1:8" s="35" customFormat="1" x14ac:dyDescent="0.3">
      <c r="A323" s="35" t="str">
        <f ca="1">'Calc (Market Planning Case)'!$B$2</f>
        <v>Calc (Market Planning Case)</v>
      </c>
      <c r="B323" s="104" t="s">
        <v>24</v>
      </c>
      <c r="C323" s="35" t="s">
        <v>11</v>
      </c>
      <c r="D323" s="80">
        <f t="shared" ca="1" si="46"/>
        <v>0.25473754178777863</v>
      </c>
      <c r="E323" s="80">
        <f t="shared" ca="1" si="46"/>
        <v>0.44267417909205159</v>
      </c>
      <c r="F323" s="80">
        <f t="shared" ca="1" si="46"/>
        <v>0.6628193665535661</v>
      </c>
      <c r="G323" s="80">
        <f t="shared" ca="1" si="46"/>
        <v>0.71024842650382625</v>
      </c>
      <c r="H323" s="80">
        <f t="shared" ca="1" si="46"/>
        <v>0.75212223266646072</v>
      </c>
    </row>
    <row r="324" spans="1:8" s="35" customFormat="1" x14ac:dyDescent="0.3">
      <c r="A324" s="35" t="str">
        <f ca="1">'Calc (Market Slow Rate)'!$B$2</f>
        <v>Calc (Market Slow Rate)</v>
      </c>
      <c r="B324" s="104" t="s">
        <v>24</v>
      </c>
      <c r="C324" s="35" t="s">
        <v>11</v>
      </c>
      <c r="D324" s="80">
        <f t="shared" ca="1" si="46"/>
        <v>0.25473754178777863</v>
      </c>
      <c r="E324" s="80">
        <f t="shared" ca="1" si="46"/>
        <v>0.44267417909205159</v>
      </c>
      <c r="F324" s="80">
        <f t="shared" ca="1" si="46"/>
        <v>0.6628193665535661</v>
      </c>
      <c r="G324" s="80">
        <f t="shared" ca="1" si="46"/>
        <v>0.71024845158378358</v>
      </c>
      <c r="H324" s="80">
        <f t="shared" ca="1" si="46"/>
        <v>0.75212214575245984</v>
      </c>
    </row>
    <row r="325" spans="1:8" s="35" customFormat="1" x14ac:dyDescent="0.3">
      <c r="A325" s="38" t="str">
        <f>Dist2</f>
        <v>Powercor</v>
      </c>
      <c r="D325" s="39"/>
      <c r="E325" s="39"/>
      <c r="F325" s="39"/>
      <c r="G325" s="39"/>
      <c r="H325" s="39"/>
    </row>
    <row r="326" spans="1:8" s="35" customFormat="1" x14ac:dyDescent="0.3">
      <c r="A326" s="35" t="str">
        <f ca="1">'Calc (Jurisdiction)'!$B$2</f>
        <v>Calc (Jurisdiction)</v>
      </c>
      <c r="B326" s="104" t="s">
        <v>24</v>
      </c>
      <c r="C326" s="35" t="s">
        <v>11</v>
      </c>
      <c r="D326" s="80">
        <f t="shared" ref="D326:H330" ca="1" si="47">IF(LEFT($A326,5)="blank",0,IF(LEFT($A$325,5)="blank",0,IF($C$368="$/mWh",D$368*100/1000,IF($C$368="$/kwh",D$368*100,D$368))+VLOOKUP($A326,Dist2LRET,COLUMN(D326),FALSE)))</f>
        <v>0.25473754178777863</v>
      </c>
      <c r="E326" s="80">
        <f t="shared" ca="1" si="47"/>
        <v>0.44267417909205159</v>
      </c>
      <c r="F326" s="80">
        <f t="shared" ca="1" si="47"/>
        <v>0.6628193665535661</v>
      </c>
      <c r="G326" s="80">
        <f t="shared" ca="1" si="47"/>
        <v>0.71024842650382625</v>
      </c>
      <c r="H326" s="80">
        <f t="shared" ca="1" si="47"/>
        <v>0.75212223266646072</v>
      </c>
    </row>
    <row r="327" spans="1:8" s="35" customFormat="1" x14ac:dyDescent="0.3">
      <c r="A327" s="35" t="str">
        <f ca="1">'Calc (LRMC Planning case)'!$B$2</f>
        <v>Calc (LRMC Planning case)</v>
      </c>
      <c r="B327" s="104" t="s">
        <v>24</v>
      </c>
      <c r="C327" s="35" t="s">
        <v>11</v>
      </c>
      <c r="D327" s="80">
        <f t="shared" ca="1" si="47"/>
        <v>0.25473754178777863</v>
      </c>
      <c r="E327" s="80">
        <f t="shared" ca="1" si="47"/>
        <v>0.44267417909205159</v>
      </c>
      <c r="F327" s="80">
        <f t="shared" ca="1" si="47"/>
        <v>0.6628193665535661</v>
      </c>
      <c r="G327" s="80">
        <f t="shared" ca="1" si="47"/>
        <v>0.71024842650382625</v>
      </c>
      <c r="H327" s="80">
        <f t="shared" ca="1" si="47"/>
        <v>0.75212223266646072</v>
      </c>
    </row>
    <row r="328" spans="1:8" s="35" customFormat="1" x14ac:dyDescent="0.3">
      <c r="A328" s="35" t="str">
        <f ca="1">'Calc (LRMC Slow Rate)'!$B$2</f>
        <v>Calc (LRMC Slow Rate)</v>
      </c>
      <c r="B328" s="104" t="s">
        <v>24</v>
      </c>
      <c r="C328" s="35" t="s">
        <v>11</v>
      </c>
      <c r="D328" s="80">
        <f t="shared" ca="1" si="47"/>
        <v>0.25473754178777863</v>
      </c>
      <c r="E328" s="80">
        <f t="shared" ca="1" si="47"/>
        <v>0.44267417909205159</v>
      </c>
      <c r="F328" s="80">
        <f t="shared" ca="1" si="47"/>
        <v>0.6628193665535661</v>
      </c>
      <c r="G328" s="80">
        <f t="shared" ca="1" si="47"/>
        <v>0.71024845158378325</v>
      </c>
      <c r="H328" s="80">
        <f t="shared" ca="1" si="47"/>
        <v>0.7521221457524595</v>
      </c>
    </row>
    <row r="329" spans="1:8" s="35" customFormat="1" x14ac:dyDescent="0.3">
      <c r="A329" s="35" t="str">
        <f ca="1">'Calc (Market Planning Case)'!$B$2</f>
        <v>Calc (Market Planning Case)</v>
      </c>
      <c r="B329" s="104" t="s">
        <v>24</v>
      </c>
      <c r="C329" s="35" t="s">
        <v>11</v>
      </c>
      <c r="D329" s="80">
        <f t="shared" ca="1" si="47"/>
        <v>0.25473754178777863</v>
      </c>
      <c r="E329" s="80">
        <f t="shared" ca="1" si="47"/>
        <v>0.44267417909205159</v>
      </c>
      <c r="F329" s="80">
        <f t="shared" ca="1" si="47"/>
        <v>0.6628193665535661</v>
      </c>
      <c r="G329" s="80">
        <f t="shared" ca="1" si="47"/>
        <v>0.71024842650382625</v>
      </c>
      <c r="H329" s="80">
        <f t="shared" ca="1" si="47"/>
        <v>0.75212223266646072</v>
      </c>
    </row>
    <row r="330" spans="1:8" s="35" customFormat="1" x14ac:dyDescent="0.3">
      <c r="A330" s="35" t="str">
        <f ca="1">'Calc (Market Slow Rate)'!$B$2</f>
        <v>Calc (Market Slow Rate)</v>
      </c>
      <c r="B330" s="104" t="s">
        <v>24</v>
      </c>
      <c r="C330" s="35" t="s">
        <v>11</v>
      </c>
      <c r="D330" s="80">
        <f t="shared" ca="1" si="47"/>
        <v>0.25473754178777863</v>
      </c>
      <c r="E330" s="80">
        <f t="shared" ca="1" si="47"/>
        <v>0.44267417909205159</v>
      </c>
      <c r="F330" s="80">
        <f t="shared" ca="1" si="47"/>
        <v>0.6628193665535661</v>
      </c>
      <c r="G330" s="80">
        <f t="shared" ca="1" si="47"/>
        <v>0.71024845158378325</v>
      </c>
      <c r="H330" s="80">
        <f t="shared" ca="1" si="47"/>
        <v>0.7521221457524595</v>
      </c>
    </row>
    <row r="331" spans="1:8" s="35" customFormat="1" x14ac:dyDescent="0.3">
      <c r="A331" s="38" t="str">
        <f>Dist3</f>
        <v>SP Ausnet</v>
      </c>
      <c r="D331" s="39"/>
      <c r="E331" s="39"/>
      <c r="F331" s="39"/>
      <c r="G331" s="39"/>
      <c r="H331" s="39"/>
    </row>
    <row r="332" spans="1:8" s="35" customFormat="1" x14ac:dyDescent="0.3">
      <c r="A332" s="35" t="str">
        <f ca="1">'Calc (Jurisdiction)'!$B$2</f>
        <v>Calc (Jurisdiction)</v>
      </c>
      <c r="B332" s="104" t="s">
        <v>24</v>
      </c>
      <c r="C332" s="35" t="s">
        <v>11</v>
      </c>
      <c r="D332" s="80">
        <f t="shared" ref="D332:H336" ca="1" si="48">IF(LEFT($A332,5)="blank",0,IF(LEFT($A$331,5)="blank",0,IF($C$379="$/mWh",D$379*100/1000,IF($C$379="$/kwh",D$379*100,D$379))+VLOOKUP($A332,Dist3LRET,COLUMN(D332),FALSE)))</f>
        <v>0.25473754178777863</v>
      </c>
      <c r="E332" s="106">
        <f t="shared" ca="1" si="48"/>
        <v>0.44267417909205159</v>
      </c>
      <c r="F332" s="106">
        <f t="shared" ca="1" si="48"/>
        <v>0.6628193665535661</v>
      </c>
      <c r="G332" s="106">
        <f t="shared" ca="1" si="48"/>
        <v>0.71024842650382625</v>
      </c>
      <c r="H332" s="106">
        <f t="shared" ca="1" si="48"/>
        <v>0.75212223266646072</v>
      </c>
    </row>
    <row r="333" spans="1:8" s="35" customFormat="1" x14ac:dyDescent="0.3">
      <c r="A333" s="35" t="str">
        <f ca="1">'Calc (LRMC Planning case)'!$B$2</f>
        <v>Calc (LRMC Planning case)</v>
      </c>
      <c r="B333" s="104" t="s">
        <v>24</v>
      </c>
      <c r="C333" s="35" t="s">
        <v>11</v>
      </c>
      <c r="D333" s="106">
        <f t="shared" ca="1" si="48"/>
        <v>0.25473754178777863</v>
      </c>
      <c r="E333" s="106">
        <f t="shared" ca="1" si="48"/>
        <v>0.44267417909205159</v>
      </c>
      <c r="F333" s="106">
        <f t="shared" ca="1" si="48"/>
        <v>0.6628193665535661</v>
      </c>
      <c r="G333" s="106">
        <f t="shared" ca="1" si="48"/>
        <v>0.71024842650382625</v>
      </c>
      <c r="H333" s="106">
        <f t="shared" ca="1" si="48"/>
        <v>0.75212223266646072</v>
      </c>
    </row>
    <row r="334" spans="1:8" s="35" customFormat="1" x14ac:dyDescent="0.3">
      <c r="A334" s="35" t="str">
        <f ca="1">'Calc (LRMC Slow Rate)'!$B$2</f>
        <v>Calc (LRMC Slow Rate)</v>
      </c>
      <c r="B334" s="104" t="s">
        <v>24</v>
      </c>
      <c r="C334" s="35" t="s">
        <v>11</v>
      </c>
      <c r="D334" s="106">
        <f t="shared" ca="1" si="48"/>
        <v>0.25473754178777863</v>
      </c>
      <c r="E334" s="106">
        <f t="shared" ca="1" si="48"/>
        <v>0.44267417909205159</v>
      </c>
      <c r="F334" s="106">
        <f t="shared" ca="1" si="48"/>
        <v>0.6628193665535661</v>
      </c>
      <c r="G334" s="106">
        <f t="shared" ca="1" si="48"/>
        <v>0.72800466287337784</v>
      </c>
      <c r="H334" s="106">
        <f t="shared" ca="1" si="48"/>
        <v>0.75212214575245961</v>
      </c>
    </row>
    <row r="335" spans="1:8" s="35" customFormat="1" x14ac:dyDescent="0.3">
      <c r="A335" s="35" t="str">
        <f ca="1">'Calc (Market Planning Case)'!$B$2</f>
        <v>Calc (Market Planning Case)</v>
      </c>
      <c r="B335" s="104" t="s">
        <v>24</v>
      </c>
      <c r="C335" s="35" t="s">
        <v>11</v>
      </c>
      <c r="D335" s="106">
        <f t="shared" ca="1" si="48"/>
        <v>0.25473754178777863</v>
      </c>
      <c r="E335" s="106">
        <f t="shared" ca="1" si="48"/>
        <v>0.44267417909205159</v>
      </c>
      <c r="F335" s="106">
        <f t="shared" ca="1" si="48"/>
        <v>0.6628193665535661</v>
      </c>
      <c r="G335" s="106">
        <f t="shared" ca="1" si="48"/>
        <v>0.71024842650382625</v>
      </c>
      <c r="H335" s="106">
        <f t="shared" ca="1" si="48"/>
        <v>0.75212223266646072</v>
      </c>
    </row>
    <row r="336" spans="1:8" s="35" customFormat="1" x14ac:dyDescent="0.3">
      <c r="A336" s="35" t="str">
        <f ca="1">'Calc (Market Slow Rate)'!$B$2</f>
        <v>Calc (Market Slow Rate)</v>
      </c>
      <c r="B336" s="104" t="s">
        <v>24</v>
      </c>
      <c r="C336" s="35" t="s">
        <v>11</v>
      </c>
      <c r="D336" s="106">
        <f t="shared" ca="1" si="48"/>
        <v>0.25473754178777863</v>
      </c>
      <c r="E336" s="106">
        <f t="shared" ca="1" si="48"/>
        <v>0.44267417909205159</v>
      </c>
      <c r="F336" s="106">
        <f t="shared" ca="1" si="48"/>
        <v>0.6628193665535661</v>
      </c>
      <c r="G336" s="106">
        <f t="shared" ca="1" si="48"/>
        <v>0.72800466287337784</v>
      </c>
      <c r="H336" s="106">
        <f t="shared" ca="1" si="48"/>
        <v>0.75212214575245961</v>
      </c>
    </row>
    <row r="337" spans="1:8" s="35" customFormat="1" x14ac:dyDescent="0.3">
      <c r="A337" s="38" t="str">
        <f>Dist4</f>
        <v>United</v>
      </c>
      <c r="D337" s="39"/>
      <c r="E337" s="39"/>
      <c r="F337" s="39"/>
      <c r="G337" s="39"/>
      <c r="H337" s="39"/>
    </row>
    <row r="338" spans="1:8" s="35" customFormat="1" x14ac:dyDescent="0.3">
      <c r="A338" s="35" t="str">
        <f ca="1">'Calc (Jurisdiction)'!$B$2</f>
        <v>Calc (Jurisdiction)</v>
      </c>
      <c r="B338" s="104" t="s">
        <v>24</v>
      </c>
      <c r="C338" s="35" t="s">
        <v>11</v>
      </c>
      <c r="D338" s="80">
        <f t="shared" ref="D338:H342" ca="1" si="49">IF(LEFT($A338,5)="blank",0,IF(LEFT($A$337,5)="blank",0,IF($C$390="$/mWh",D$390*100/1000,IF($C$390="$/kwh",D$390*100,D$390))+VLOOKUP($A338,Dist4LRET,COLUMN(D338),FALSE)))</f>
        <v>0.25473754178777863</v>
      </c>
      <c r="E338" s="106">
        <f t="shared" ca="1" si="49"/>
        <v>0.44267417909205159</v>
      </c>
      <c r="F338" s="106">
        <f t="shared" ca="1" si="49"/>
        <v>0.6628193665535661</v>
      </c>
      <c r="G338" s="106">
        <f t="shared" ca="1" si="49"/>
        <v>0.71024842650382625</v>
      </c>
      <c r="H338" s="106">
        <f t="shared" ca="1" si="49"/>
        <v>0.75212223266646072</v>
      </c>
    </row>
    <row r="339" spans="1:8" s="35" customFormat="1" x14ac:dyDescent="0.3">
      <c r="A339" s="35" t="str">
        <f ca="1">'Calc (LRMC Planning case)'!$B$2</f>
        <v>Calc (LRMC Planning case)</v>
      </c>
      <c r="B339" s="104" t="s">
        <v>24</v>
      </c>
      <c r="C339" s="35" t="s">
        <v>11</v>
      </c>
      <c r="D339" s="106">
        <f t="shared" ca="1" si="49"/>
        <v>0.25473754178777863</v>
      </c>
      <c r="E339" s="106">
        <f t="shared" ca="1" si="49"/>
        <v>0.44267417909205159</v>
      </c>
      <c r="F339" s="106">
        <f t="shared" ca="1" si="49"/>
        <v>0.6628193665535661</v>
      </c>
      <c r="G339" s="106">
        <f t="shared" ca="1" si="49"/>
        <v>0.71024842650382625</v>
      </c>
      <c r="H339" s="106">
        <f t="shared" ca="1" si="49"/>
        <v>0.75212223266646072</v>
      </c>
    </row>
    <row r="340" spans="1:8" s="35" customFormat="1" x14ac:dyDescent="0.3">
      <c r="A340" s="35" t="str">
        <f ca="1">'Calc (LRMC Slow Rate)'!$B$2</f>
        <v>Calc (LRMC Slow Rate)</v>
      </c>
      <c r="B340" s="104" t="s">
        <v>24</v>
      </c>
      <c r="C340" s="35" t="s">
        <v>11</v>
      </c>
      <c r="D340" s="106">
        <f t="shared" ca="1" si="49"/>
        <v>0.25473754178777863</v>
      </c>
      <c r="E340" s="106">
        <f t="shared" ca="1" si="49"/>
        <v>0.44267417909205159</v>
      </c>
      <c r="F340" s="106">
        <f t="shared" ca="1" si="49"/>
        <v>0.6628193665535661</v>
      </c>
      <c r="G340" s="106">
        <f t="shared" ca="1" si="49"/>
        <v>0.71024845158378325</v>
      </c>
      <c r="H340" s="106">
        <f t="shared" ca="1" si="49"/>
        <v>0.7521221457524595</v>
      </c>
    </row>
    <row r="341" spans="1:8" s="35" customFormat="1" x14ac:dyDescent="0.3">
      <c r="A341" s="35" t="str">
        <f ca="1">'Calc (Market Planning Case)'!$B$2</f>
        <v>Calc (Market Planning Case)</v>
      </c>
      <c r="B341" s="104" t="s">
        <v>24</v>
      </c>
      <c r="C341" s="35" t="s">
        <v>11</v>
      </c>
      <c r="D341" s="106">
        <f t="shared" ca="1" si="49"/>
        <v>0.25473754178777863</v>
      </c>
      <c r="E341" s="106">
        <f t="shared" ca="1" si="49"/>
        <v>0.44267417909205159</v>
      </c>
      <c r="F341" s="106">
        <f t="shared" ca="1" si="49"/>
        <v>0.6628193665535661</v>
      </c>
      <c r="G341" s="106">
        <f t="shared" ca="1" si="49"/>
        <v>0.71024842650382625</v>
      </c>
      <c r="H341" s="106">
        <f t="shared" ca="1" si="49"/>
        <v>0.75212223266646072</v>
      </c>
    </row>
    <row r="342" spans="1:8" s="35" customFormat="1" x14ac:dyDescent="0.3">
      <c r="A342" s="35" t="str">
        <f ca="1">'Calc (Market Slow Rate)'!$B$2</f>
        <v>Calc (Market Slow Rate)</v>
      </c>
      <c r="B342" s="104" t="s">
        <v>24</v>
      </c>
      <c r="C342" s="35" t="s">
        <v>11</v>
      </c>
      <c r="D342" s="106">
        <f t="shared" ca="1" si="49"/>
        <v>0.25473754178777863</v>
      </c>
      <c r="E342" s="106">
        <f t="shared" ca="1" si="49"/>
        <v>0.44267417909205159</v>
      </c>
      <c r="F342" s="106">
        <f t="shared" ca="1" si="49"/>
        <v>0.6628193665535661</v>
      </c>
      <c r="G342" s="106">
        <f t="shared" ca="1" si="49"/>
        <v>0.71024845158378325</v>
      </c>
      <c r="H342" s="106">
        <f t="shared" ca="1" si="49"/>
        <v>0.7521221457524595</v>
      </c>
    </row>
    <row r="343" spans="1:8" s="35" customFormat="1" x14ac:dyDescent="0.3">
      <c r="A343" s="38" t="str">
        <f>Dist5</f>
        <v>Jemena</v>
      </c>
      <c r="D343" s="39"/>
      <c r="E343" s="39"/>
      <c r="F343" s="39"/>
      <c r="G343" s="39"/>
      <c r="H343" s="39"/>
    </row>
    <row r="344" spans="1:8" s="35" customFormat="1" x14ac:dyDescent="0.3">
      <c r="A344" s="35" t="str">
        <f ca="1">'Calc (Jurisdiction)'!$B$2</f>
        <v>Calc (Jurisdiction)</v>
      </c>
      <c r="B344" s="104" t="s">
        <v>24</v>
      </c>
      <c r="C344" s="35" t="s">
        <v>11</v>
      </c>
      <c r="D344" s="80">
        <f t="shared" ref="D344:H348" ca="1" si="50">IF(LEFT($A344,5)="blank",0,IF(LEFT($A$343,5)="blank",0,IF($C$401="$/mWh",D$401*100/1000,IF($C$401="$/kwh",D$401*100,D$401))+VLOOKUP($A344,Dist5LRET,COLUMN(D344),FALSE)))</f>
        <v>0.25473754178777863</v>
      </c>
      <c r="E344" s="106">
        <f t="shared" ca="1" si="50"/>
        <v>0.44267417909205159</v>
      </c>
      <c r="F344" s="106">
        <f t="shared" ca="1" si="50"/>
        <v>0.6628193665535661</v>
      </c>
      <c r="G344" s="106">
        <f t="shared" ca="1" si="50"/>
        <v>0.71024842650382625</v>
      </c>
      <c r="H344" s="106">
        <f t="shared" ca="1" si="50"/>
        <v>0.75212223266646072</v>
      </c>
    </row>
    <row r="345" spans="1:8" s="35" customFormat="1" x14ac:dyDescent="0.3">
      <c r="A345" s="35" t="str">
        <f ca="1">'Calc (LRMC Planning case)'!$B$2</f>
        <v>Calc (LRMC Planning case)</v>
      </c>
      <c r="B345" s="104" t="s">
        <v>24</v>
      </c>
      <c r="C345" s="35" t="s">
        <v>11</v>
      </c>
      <c r="D345" s="106">
        <f t="shared" ca="1" si="50"/>
        <v>0.25473754178777863</v>
      </c>
      <c r="E345" s="106">
        <f t="shared" ca="1" si="50"/>
        <v>0.44267417909205159</v>
      </c>
      <c r="F345" s="106">
        <f t="shared" ca="1" si="50"/>
        <v>0.6628193665535661</v>
      </c>
      <c r="G345" s="106">
        <f t="shared" ca="1" si="50"/>
        <v>0.71024842650382625</v>
      </c>
      <c r="H345" s="106">
        <f t="shared" ca="1" si="50"/>
        <v>0.75212223266646072</v>
      </c>
    </row>
    <row r="346" spans="1:8" s="35" customFormat="1" x14ac:dyDescent="0.3">
      <c r="A346" s="35" t="str">
        <f ca="1">'Calc (LRMC Slow Rate)'!$B$2</f>
        <v>Calc (LRMC Slow Rate)</v>
      </c>
      <c r="B346" s="104" t="s">
        <v>24</v>
      </c>
      <c r="C346" s="35" t="s">
        <v>11</v>
      </c>
      <c r="D346" s="106">
        <f t="shared" ca="1" si="50"/>
        <v>0.25473754178777863</v>
      </c>
      <c r="E346" s="106">
        <f t="shared" ca="1" si="50"/>
        <v>0.44267417909205159</v>
      </c>
      <c r="F346" s="106">
        <f t="shared" ca="1" si="50"/>
        <v>0.6628193665535661</v>
      </c>
      <c r="G346" s="106">
        <f t="shared" ca="1" si="50"/>
        <v>0.71024845158378325</v>
      </c>
      <c r="H346" s="106">
        <f t="shared" ca="1" si="50"/>
        <v>0.7521221457524595</v>
      </c>
    </row>
    <row r="347" spans="1:8" s="35" customFormat="1" x14ac:dyDescent="0.3">
      <c r="A347" s="35" t="str">
        <f ca="1">'Calc (Market Planning Case)'!$B$2</f>
        <v>Calc (Market Planning Case)</v>
      </c>
      <c r="B347" s="104" t="s">
        <v>24</v>
      </c>
      <c r="C347" s="35" t="s">
        <v>11</v>
      </c>
      <c r="D347" s="106">
        <f t="shared" ca="1" si="50"/>
        <v>0.25473754178777863</v>
      </c>
      <c r="E347" s="106">
        <f t="shared" ca="1" si="50"/>
        <v>0.44267417909205159</v>
      </c>
      <c r="F347" s="106">
        <f t="shared" ca="1" si="50"/>
        <v>0.6628193665535661</v>
      </c>
      <c r="G347" s="106">
        <f t="shared" ca="1" si="50"/>
        <v>0.71024842650382625</v>
      </c>
      <c r="H347" s="106">
        <f t="shared" ca="1" si="50"/>
        <v>0.75212223266646072</v>
      </c>
    </row>
    <row r="348" spans="1:8" s="35" customFormat="1" x14ac:dyDescent="0.3">
      <c r="A348" s="35" t="str">
        <f ca="1">'Calc (Market Slow Rate)'!$B$2</f>
        <v>Calc (Market Slow Rate)</v>
      </c>
      <c r="B348" s="104" t="s">
        <v>24</v>
      </c>
      <c r="C348" s="35" t="s">
        <v>11</v>
      </c>
      <c r="D348" s="106">
        <f t="shared" ca="1" si="50"/>
        <v>0.25473754178777863</v>
      </c>
      <c r="E348" s="106">
        <f t="shared" ca="1" si="50"/>
        <v>0.44267417909205159</v>
      </c>
      <c r="F348" s="106">
        <f t="shared" ca="1" si="50"/>
        <v>0.6628193665535661</v>
      </c>
      <c r="G348" s="106">
        <f t="shared" ca="1" si="50"/>
        <v>0.71024845158378325</v>
      </c>
      <c r="H348" s="106">
        <f t="shared" ca="1" si="50"/>
        <v>0.7521221457524595</v>
      </c>
    </row>
    <row r="349" spans="1:8" s="35" customFormat="1" x14ac:dyDescent="0.3"/>
    <row r="350" spans="1:8" s="35" customFormat="1" x14ac:dyDescent="0.3">
      <c r="A350" s="21" t="str">
        <f>LEFT(B58,3) &amp; " Jurisdiction Data"</f>
        <v>Cal Jurisdiction Data</v>
      </c>
      <c r="D350" s="59"/>
      <c r="E350" s="59"/>
      <c r="F350" s="59"/>
      <c r="G350" s="59"/>
      <c r="H350" s="59"/>
    </row>
    <row r="351" spans="1:8" s="35" customFormat="1" x14ac:dyDescent="0.3">
      <c r="A351" s="54" t="str">
        <f>Dist1</f>
        <v>Citipower</v>
      </c>
      <c r="B351" s="104"/>
      <c r="C351" s="104"/>
      <c r="D351" s="104"/>
      <c r="E351" s="104"/>
      <c r="F351" s="104"/>
      <c r="G351" s="104"/>
      <c r="H351" s="104"/>
    </row>
    <row r="352" spans="1:8" s="35" customFormat="1" x14ac:dyDescent="0.3">
      <c r="A352" s="87" t="s">
        <v>62</v>
      </c>
      <c r="B352" s="104" t="s">
        <v>24</v>
      </c>
      <c r="C352" s="104" t="s">
        <v>11</v>
      </c>
      <c r="D352" s="120">
        <f t="shared" ref="D352:H360" si="51">IF($C782="$/mwh",D782*100/1000,IF($C782="$/kwh",D782*100,D782))</f>
        <v>0</v>
      </c>
      <c r="E352" s="120">
        <f t="shared" si="51"/>
        <v>0</v>
      </c>
      <c r="F352" s="120">
        <f t="shared" si="51"/>
        <v>0</v>
      </c>
      <c r="G352" s="120">
        <f t="shared" si="51"/>
        <v>0</v>
      </c>
      <c r="H352" s="120">
        <f t="shared" si="51"/>
        <v>0</v>
      </c>
    </row>
    <row r="353" spans="1:11" s="35" customFormat="1" x14ac:dyDescent="0.3">
      <c r="A353" s="87" t="s">
        <v>72</v>
      </c>
      <c r="B353" s="104" t="s">
        <v>24</v>
      </c>
      <c r="C353" s="104" t="s">
        <v>11</v>
      </c>
      <c r="D353" s="120">
        <f t="shared" si="51"/>
        <v>6.0539017275711737</v>
      </c>
      <c r="E353" s="120">
        <f t="shared" si="51"/>
        <v>7.6393343312611606</v>
      </c>
      <c r="F353" s="120">
        <f t="shared" si="51"/>
        <v>8.2301905802097366</v>
      </c>
      <c r="G353" s="120">
        <f t="shared" si="51"/>
        <v>0</v>
      </c>
      <c r="H353" s="120">
        <f t="shared" si="51"/>
        <v>0</v>
      </c>
    </row>
    <row r="354" spans="1:11" s="35" customFormat="1" x14ac:dyDescent="0.3">
      <c r="A354" s="87" t="s">
        <v>100</v>
      </c>
      <c r="B354" s="104" t="s">
        <v>24</v>
      </c>
      <c r="C354" s="104" t="s">
        <v>11</v>
      </c>
      <c r="D354" s="120">
        <f t="shared" si="51"/>
        <v>0.23799999999999999</v>
      </c>
      <c r="E354" s="120">
        <f t="shared" si="51"/>
        <v>0.23799999999999999</v>
      </c>
      <c r="F354" s="120">
        <f t="shared" si="51"/>
        <v>0.23799999999999999</v>
      </c>
      <c r="G354" s="120">
        <f t="shared" si="51"/>
        <v>0</v>
      </c>
      <c r="H354" s="120">
        <f t="shared" si="51"/>
        <v>0</v>
      </c>
      <c r="K354" s="40"/>
    </row>
    <row r="355" spans="1:11" s="35" customFormat="1" x14ac:dyDescent="0.3">
      <c r="A355" s="87" t="s">
        <v>116</v>
      </c>
      <c r="B355" s="104" t="s">
        <v>24</v>
      </c>
      <c r="C355" s="104" t="s">
        <v>11</v>
      </c>
      <c r="D355" s="120">
        <f t="shared" si="51"/>
        <v>7.9999999999999988E-2</v>
      </c>
      <c r="E355" s="120">
        <f t="shared" si="51"/>
        <v>7.9999999999999988E-2</v>
      </c>
      <c r="F355" s="120">
        <f t="shared" si="51"/>
        <v>7.9999999999999988E-2</v>
      </c>
      <c r="G355" s="120">
        <f t="shared" si="51"/>
        <v>0</v>
      </c>
      <c r="H355" s="120">
        <f t="shared" si="51"/>
        <v>0</v>
      </c>
    </row>
    <row r="356" spans="1:11" s="35" customFormat="1" x14ac:dyDescent="0.3">
      <c r="A356" s="87" t="s">
        <v>101</v>
      </c>
      <c r="B356" s="104" t="s">
        <v>24</v>
      </c>
      <c r="C356" s="104" t="s">
        <v>11</v>
      </c>
      <c r="D356" s="120">
        <f t="shared" si="51"/>
        <v>0</v>
      </c>
      <c r="E356" s="120">
        <f t="shared" si="51"/>
        <v>0</v>
      </c>
      <c r="F356" s="120">
        <f t="shared" si="51"/>
        <v>2.2400000000000002</v>
      </c>
      <c r="G356" s="120">
        <f t="shared" si="51"/>
        <v>0</v>
      </c>
      <c r="H356" s="120">
        <f t="shared" si="51"/>
        <v>0</v>
      </c>
    </row>
    <row r="357" spans="1:11" s="35" customFormat="1" x14ac:dyDescent="0.3">
      <c r="A357" s="87" t="s">
        <v>15</v>
      </c>
      <c r="B357" s="104" t="s">
        <v>24</v>
      </c>
      <c r="C357" s="104" t="s">
        <v>11</v>
      </c>
      <c r="D357" s="120">
        <f t="shared" si="51"/>
        <v>0.25473754178777863</v>
      </c>
      <c r="E357" s="120">
        <f t="shared" si="51"/>
        <v>0.44267417909205159</v>
      </c>
      <c r="F357" s="120">
        <f t="shared" si="51"/>
        <v>0.6628193665535661</v>
      </c>
      <c r="G357" s="120">
        <f t="shared" si="51"/>
        <v>0</v>
      </c>
      <c r="H357" s="120">
        <f t="shared" si="51"/>
        <v>0</v>
      </c>
    </row>
    <row r="358" spans="1:11" s="35" customFormat="1" x14ac:dyDescent="0.3">
      <c r="A358" s="87" t="s">
        <v>67</v>
      </c>
      <c r="B358" s="104" t="s">
        <v>24</v>
      </c>
      <c r="C358" s="104" t="s">
        <v>11</v>
      </c>
      <c r="D358" s="120">
        <f t="shared" si="51"/>
        <v>0.43999227350852893</v>
      </c>
      <c r="E358" s="120">
        <f t="shared" si="51"/>
        <v>0.52897443353026441</v>
      </c>
      <c r="F358" s="120">
        <f t="shared" si="51"/>
        <v>0.2881821035194338</v>
      </c>
      <c r="G358" s="120">
        <f t="shared" si="51"/>
        <v>0</v>
      </c>
      <c r="H358" s="120">
        <f t="shared" si="51"/>
        <v>0</v>
      </c>
    </row>
    <row r="359" spans="1:11" s="35" customFormat="1" x14ac:dyDescent="0.3">
      <c r="A359" s="64" t="str">
        <f>Scheme1</f>
        <v>Energy Saver Incentive</v>
      </c>
      <c r="B359" s="104" t="s">
        <v>24</v>
      </c>
      <c r="C359" s="104" t="s">
        <v>11</v>
      </c>
      <c r="D359" s="120">
        <f t="shared" si="51"/>
        <v>0.39</v>
      </c>
      <c r="E359" s="120">
        <f t="shared" si="51"/>
        <v>0.39</v>
      </c>
      <c r="F359" s="120">
        <f t="shared" si="51"/>
        <v>0.38</v>
      </c>
      <c r="G359" s="120">
        <f t="shared" si="51"/>
        <v>0.38</v>
      </c>
      <c r="H359" s="120">
        <f t="shared" si="51"/>
        <v>0.38</v>
      </c>
    </row>
    <row r="360" spans="1:11" s="35" customFormat="1" x14ac:dyDescent="0.3">
      <c r="A360" s="58" t="str">
        <f>Scheme2</f>
        <v>blank</v>
      </c>
      <c r="B360" s="104" t="s">
        <v>24</v>
      </c>
      <c r="C360" s="104" t="s">
        <v>11</v>
      </c>
      <c r="D360" s="120">
        <f t="shared" si="51"/>
        <v>0</v>
      </c>
      <c r="E360" s="120">
        <f t="shared" si="51"/>
        <v>0</v>
      </c>
      <c r="F360" s="120">
        <f t="shared" si="51"/>
        <v>0</v>
      </c>
      <c r="G360" s="120">
        <f t="shared" si="51"/>
        <v>0</v>
      </c>
      <c r="H360" s="120">
        <f t="shared" si="51"/>
        <v>0</v>
      </c>
    </row>
    <row r="361" spans="1:11" s="35" customFormat="1" x14ac:dyDescent="0.3">
      <c r="A361" s="104"/>
      <c r="B361" s="104"/>
      <c r="C361" s="104"/>
      <c r="D361" s="45"/>
      <c r="E361" s="63"/>
      <c r="F361" s="63"/>
      <c r="G361" s="63"/>
      <c r="H361" s="63"/>
    </row>
    <row r="362" spans="1:11" s="35" customFormat="1" x14ac:dyDescent="0.3">
      <c r="A362" s="54" t="str">
        <f>Dist2</f>
        <v>Powercor</v>
      </c>
      <c r="B362" s="104"/>
      <c r="C362" s="104"/>
      <c r="D362" s="104"/>
      <c r="E362" s="104"/>
      <c r="F362" s="104"/>
      <c r="G362" s="104"/>
      <c r="H362" s="104"/>
    </row>
    <row r="363" spans="1:11" s="35" customFormat="1" x14ac:dyDescent="0.3">
      <c r="A363" s="40" t="str">
        <f t="shared" ref="A363:A371" si="52">A352</f>
        <v>Retail operating Cost</v>
      </c>
      <c r="B363" s="104" t="s">
        <v>24</v>
      </c>
      <c r="C363" s="104" t="s">
        <v>11</v>
      </c>
      <c r="D363" s="120">
        <f t="shared" ref="D363:H371" si="53">IF($C793="$/mwh",D793*100/1000,IF($C793="$/kwh",D793*100,D793))</f>
        <v>0</v>
      </c>
      <c r="E363" s="120">
        <f t="shared" si="53"/>
        <v>0</v>
      </c>
      <c r="F363" s="120">
        <f t="shared" si="53"/>
        <v>0</v>
      </c>
      <c r="G363" s="120">
        <f t="shared" si="53"/>
        <v>0</v>
      </c>
      <c r="H363" s="120">
        <f t="shared" si="53"/>
        <v>0</v>
      </c>
    </row>
    <row r="364" spans="1:11" s="35" customFormat="1" x14ac:dyDescent="0.3">
      <c r="A364" s="40" t="str">
        <f t="shared" si="52"/>
        <v>Generation</v>
      </c>
      <c r="B364" s="104" t="s">
        <v>24</v>
      </c>
      <c r="C364" s="104" t="s">
        <v>11</v>
      </c>
      <c r="D364" s="120">
        <f t="shared" si="53"/>
        <v>7.0307156102082615</v>
      </c>
      <c r="E364" s="120">
        <f t="shared" si="53"/>
        <v>6.1332756316371908</v>
      </c>
      <c r="F364" s="120">
        <f t="shared" si="53"/>
        <v>7.7394951560687719</v>
      </c>
      <c r="G364" s="120">
        <f t="shared" si="53"/>
        <v>0</v>
      </c>
      <c r="H364" s="120">
        <f t="shared" si="53"/>
        <v>0</v>
      </c>
    </row>
    <row r="365" spans="1:11" s="35" customFormat="1" x14ac:dyDescent="0.3">
      <c r="A365" s="40" t="str">
        <f t="shared" si="52"/>
        <v xml:space="preserve">Losses </v>
      </c>
      <c r="B365" s="104" t="s">
        <v>24</v>
      </c>
      <c r="C365" s="104" t="s">
        <v>11</v>
      </c>
      <c r="D365" s="120">
        <f t="shared" si="53"/>
        <v>0.26300000000000001</v>
      </c>
      <c r="E365" s="120">
        <f t="shared" si="53"/>
        <v>0.26300000000000001</v>
      </c>
      <c r="F365" s="120">
        <f t="shared" si="53"/>
        <v>0.26300000000000001</v>
      </c>
      <c r="G365" s="120">
        <f t="shared" si="53"/>
        <v>0</v>
      </c>
      <c r="H365" s="120">
        <f t="shared" si="53"/>
        <v>0</v>
      </c>
      <c r="I365" s="65"/>
    </row>
    <row r="366" spans="1:11" s="35" customFormat="1" x14ac:dyDescent="0.3">
      <c r="A366" s="40" t="str">
        <f t="shared" si="52"/>
        <v>Market Fees</v>
      </c>
      <c r="B366" s="104" t="s">
        <v>24</v>
      </c>
      <c r="C366" s="104" t="s">
        <v>11</v>
      </c>
      <c r="D366" s="120">
        <f t="shared" si="53"/>
        <v>7.9999999999999988E-2</v>
      </c>
      <c r="E366" s="120">
        <f t="shared" si="53"/>
        <v>7.9999999999999988E-2</v>
      </c>
      <c r="F366" s="120">
        <f t="shared" si="53"/>
        <v>7.9999999999999988E-2</v>
      </c>
      <c r="G366" s="120">
        <f t="shared" si="53"/>
        <v>0</v>
      </c>
      <c r="H366" s="120">
        <f t="shared" si="53"/>
        <v>0</v>
      </c>
      <c r="I366" s="65"/>
    </row>
    <row r="367" spans="1:11" s="35" customFormat="1" x14ac:dyDescent="0.3">
      <c r="A367" s="40" t="str">
        <f t="shared" si="52"/>
        <v>Carbon</v>
      </c>
      <c r="B367" s="104" t="s">
        <v>24</v>
      </c>
      <c r="C367" s="104" t="s">
        <v>11</v>
      </c>
      <c r="D367" s="120">
        <f t="shared" si="53"/>
        <v>0</v>
      </c>
      <c r="E367" s="120">
        <f t="shared" si="53"/>
        <v>0</v>
      </c>
      <c r="F367" s="120">
        <f t="shared" si="53"/>
        <v>2.2400000000000002</v>
      </c>
      <c r="G367" s="120">
        <f t="shared" si="53"/>
        <v>0</v>
      </c>
      <c r="H367" s="120">
        <f t="shared" si="53"/>
        <v>0</v>
      </c>
      <c r="I367" s="65"/>
    </row>
    <row r="368" spans="1:11" s="35" customFormat="1" x14ac:dyDescent="0.3">
      <c r="A368" s="40" t="str">
        <f t="shared" si="52"/>
        <v>LRET</v>
      </c>
      <c r="B368" s="104" t="s">
        <v>24</v>
      </c>
      <c r="C368" s="104" t="s">
        <v>11</v>
      </c>
      <c r="D368" s="120">
        <f t="shared" si="53"/>
        <v>0.25473754178777863</v>
      </c>
      <c r="E368" s="120">
        <f t="shared" si="53"/>
        <v>0.44267417909205159</v>
      </c>
      <c r="F368" s="120">
        <f t="shared" si="53"/>
        <v>0.6628193665535661</v>
      </c>
      <c r="G368" s="120">
        <f t="shared" si="53"/>
        <v>0</v>
      </c>
      <c r="H368" s="120">
        <f t="shared" si="53"/>
        <v>0</v>
      </c>
    </row>
    <row r="369" spans="1:8" s="35" customFormat="1" x14ac:dyDescent="0.3">
      <c r="A369" s="40" t="str">
        <f t="shared" si="52"/>
        <v>Small scale renewable energy scheme</v>
      </c>
      <c r="B369" s="104" t="s">
        <v>24</v>
      </c>
      <c r="C369" s="104" t="s">
        <v>11</v>
      </c>
      <c r="D369" s="120">
        <f t="shared" si="53"/>
        <v>0.43999227350852893</v>
      </c>
      <c r="E369" s="120">
        <f t="shared" si="53"/>
        <v>0.43999227350852893</v>
      </c>
      <c r="F369" s="120">
        <f t="shared" si="53"/>
        <v>0.43999227350852893</v>
      </c>
      <c r="G369" s="120">
        <f t="shared" si="53"/>
        <v>0</v>
      </c>
      <c r="H369" s="120">
        <f t="shared" si="53"/>
        <v>0</v>
      </c>
    </row>
    <row r="370" spans="1:8" s="35" customFormat="1" x14ac:dyDescent="0.3">
      <c r="A370" s="40" t="str">
        <f t="shared" si="52"/>
        <v>Energy Saver Incentive</v>
      </c>
      <c r="B370" s="104" t="s">
        <v>24</v>
      </c>
      <c r="C370" s="104" t="s">
        <v>11</v>
      </c>
      <c r="D370" s="120">
        <f t="shared" si="53"/>
        <v>0.39</v>
      </c>
      <c r="E370" s="120">
        <f t="shared" si="53"/>
        <v>0.39</v>
      </c>
      <c r="F370" s="120">
        <f t="shared" si="53"/>
        <v>0.38</v>
      </c>
      <c r="G370" s="120">
        <f t="shared" si="53"/>
        <v>0.38</v>
      </c>
      <c r="H370" s="120">
        <f t="shared" si="53"/>
        <v>0.38</v>
      </c>
    </row>
    <row r="371" spans="1:8" s="35" customFormat="1" x14ac:dyDescent="0.3">
      <c r="A371" s="40" t="str">
        <f t="shared" si="52"/>
        <v>blank</v>
      </c>
      <c r="B371" s="104" t="s">
        <v>24</v>
      </c>
      <c r="C371" s="104" t="s">
        <v>11</v>
      </c>
      <c r="D371" s="120">
        <f t="shared" si="53"/>
        <v>0</v>
      </c>
      <c r="E371" s="120">
        <f t="shared" si="53"/>
        <v>0</v>
      </c>
      <c r="F371" s="120">
        <f t="shared" si="53"/>
        <v>0</v>
      </c>
      <c r="G371" s="120">
        <f t="shared" si="53"/>
        <v>0</v>
      </c>
      <c r="H371" s="120">
        <f t="shared" si="53"/>
        <v>0</v>
      </c>
    </row>
    <row r="372" spans="1:8" s="35" customFormat="1" x14ac:dyDescent="0.3">
      <c r="A372" s="58"/>
      <c r="B372" s="104"/>
      <c r="C372" s="63"/>
      <c r="D372" s="63"/>
      <c r="E372" s="63"/>
      <c r="F372" s="63"/>
      <c r="G372" s="63"/>
      <c r="H372" s="63"/>
    </row>
    <row r="373" spans="1:8" s="35" customFormat="1" x14ac:dyDescent="0.3">
      <c r="A373" s="54" t="str">
        <f>Dist3</f>
        <v>SP Ausnet</v>
      </c>
      <c r="B373" s="104"/>
      <c r="C373" s="63"/>
      <c r="D373" s="63"/>
      <c r="E373" s="63"/>
      <c r="F373" s="63"/>
      <c r="G373" s="63"/>
      <c r="H373" s="63"/>
    </row>
    <row r="374" spans="1:8" s="35" customFormat="1" x14ac:dyDescent="0.3">
      <c r="A374" s="40" t="str">
        <f t="shared" ref="A374:A382" si="54">A363</f>
        <v>Retail operating Cost</v>
      </c>
      <c r="B374" s="104" t="s">
        <v>24</v>
      </c>
      <c r="C374" s="104" t="s">
        <v>11</v>
      </c>
      <c r="D374" s="120">
        <f t="shared" ref="D374:H382" si="55">IF($C804="$/mwh",D804*100/1000,IF($C804="$/kwh",D804*100,D804))</f>
        <v>0</v>
      </c>
      <c r="E374" s="120">
        <f t="shared" si="55"/>
        <v>0</v>
      </c>
      <c r="F374" s="120">
        <f t="shared" si="55"/>
        <v>0</v>
      </c>
      <c r="G374" s="120">
        <f t="shared" si="55"/>
        <v>0</v>
      </c>
      <c r="H374" s="120">
        <f t="shared" si="55"/>
        <v>0</v>
      </c>
    </row>
    <row r="375" spans="1:8" s="35" customFormat="1" x14ac:dyDescent="0.3">
      <c r="A375" s="40" t="str">
        <f t="shared" si="54"/>
        <v>Generation</v>
      </c>
      <c r="B375" s="104" t="s">
        <v>24</v>
      </c>
      <c r="C375" s="104" t="s">
        <v>11</v>
      </c>
      <c r="D375" s="120">
        <f t="shared" si="55"/>
        <v>7.3702430790518818</v>
      </c>
      <c r="E375" s="120">
        <f t="shared" si="55"/>
        <v>6.4294639098128092</v>
      </c>
      <c r="F375" s="120">
        <f t="shared" si="55"/>
        <v>8.1132510219228937</v>
      </c>
      <c r="G375" s="120">
        <f t="shared" si="55"/>
        <v>0</v>
      </c>
      <c r="H375" s="120">
        <f t="shared" si="55"/>
        <v>0</v>
      </c>
    </row>
    <row r="376" spans="1:8" s="35" customFormat="1" x14ac:dyDescent="0.3">
      <c r="A376" s="40" t="str">
        <f t="shared" si="54"/>
        <v xml:space="preserve">Losses </v>
      </c>
      <c r="B376" s="104" t="s">
        <v>24</v>
      </c>
      <c r="C376" s="104" t="s">
        <v>11</v>
      </c>
      <c r="D376" s="120">
        <f t="shared" si="55"/>
        <v>0.42099999999999999</v>
      </c>
      <c r="E376" s="120">
        <f t="shared" si="55"/>
        <v>0.42099999999999999</v>
      </c>
      <c r="F376" s="120">
        <f t="shared" si="55"/>
        <v>0.42099999999999999</v>
      </c>
      <c r="G376" s="120">
        <f t="shared" si="55"/>
        <v>0</v>
      </c>
      <c r="H376" s="120">
        <f t="shared" si="55"/>
        <v>0</v>
      </c>
    </row>
    <row r="377" spans="1:8" s="35" customFormat="1" x14ac:dyDescent="0.3">
      <c r="A377" s="40" t="str">
        <f t="shared" si="54"/>
        <v>Market Fees</v>
      </c>
      <c r="B377" s="104" t="s">
        <v>24</v>
      </c>
      <c r="C377" s="104" t="s">
        <v>11</v>
      </c>
      <c r="D377" s="120">
        <f t="shared" si="55"/>
        <v>7.9999999999999988E-2</v>
      </c>
      <c r="E377" s="120">
        <f t="shared" si="55"/>
        <v>7.9999999999999988E-2</v>
      </c>
      <c r="F377" s="120">
        <f t="shared" si="55"/>
        <v>7.9999999999999988E-2</v>
      </c>
      <c r="G377" s="120">
        <f t="shared" si="55"/>
        <v>0</v>
      </c>
      <c r="H377" s="120">
        <f t="shared" si="55"/>
        <v>0</v>
      </c>
    </row>
    <row r="378" spans="1:8" s="35" customFormat="1" x14ac:dyDescent="0.3">
      <c r="A378" s="40" t="str">
        <f t="shared" si="54"/>
        <v>Carbon</v>
      </c>
      <c r="B378" s="104" t="s">
        <v>24</v>
      </c>
      <c r="C378" s="104" t="s">
        <v>11</v>
      </c>
      <c r="D378" s="120">
        <f t="shared" si="55"/>
        <v>0</v>
      </c>
      <c r="E378" s="120">
        <f t="shared" si="55"/>
        <v>0</v>
      </c>
      <c r="F378" s="120">
        <f t="shared" si="55"/>
        <v>2.2400000000000002</v>
      </c>
      <c r="G378" s="120">
        <f t="shared" si="55"/>
        <v>0</v>
      </c>
      <c r="H378" s="120">
        <f t="shared" si="55"/>
        <v>0</v>
      </c>
    </row>
    <row r="379" spans="1:8" s="35" customFormat="1" x14ac:dyDescent="0.3">
      <c r="A379" s="40" t="str">
        <f t="shared" si="54"/>
        <v>LRET</v>
      </c>
      <c r="B379" s="104" t="s">
        <v>24</v>
      </c>
      <c r="C379" s="104" t="s">
        <v>11</v>
      </c>
      <c r="D379" s="120">
        <f t="shared" si="55"/>
        <v>0.25473754178777863</v>
      </c>
      <c r="E379" s="120">
        <f t="shared" si="55"/>
        <v>0.44267417909205159</v>
      </c>
      <c r="F379" s="120">
        <f t="shared" si="55"/>
        <v>0.6628193665535661</v>
      </c>
      <c r="G379" s="120">
        <f t="shared" si="55"/>
        <v>0</v>
      </c>
      <c r="H379" s="120">
        <f t="shared" si="55"/>
        <v>0</v>
      </c>
    </row>
    <row r="380" spans="1:8" s="35" customFormat="1" x14ac:dyDescent="0.3">
      <c r="A380" s="40" t="str">
        <f t="shared" si="54"/>
        <v>Small scale renewable energy scheme</v>
      </c>
      <c r="B380" s="104" t="s">
        <v>24</v>
      </c>
      <c r="C380" s="104" t="s">
        <v>11</v>
      </c>
      <c r="D380" s="120">
        <f t="shared" si="55"/>
        <v>0.43999227350852893</v>
      </c>
      <c r="E380" s="120">
        <f t="shared" si="55"/>
        <v>0.52897443353026441</v>
      </c>
      <c r="F380" s="120">
        <f t="shared" si="55"/>
        <v>0.2881821035194338</v>
      </c>
      <c r="G380" s="120">
        <f t="shared" si="55"/>
        <v>0</v>
      </c>
      <c r="H380" s="120">
        <f t="shared" si="55"/>
        <v>0</v>
      </c>
    </row>
    <row r="381" spans="1:8" s="35" customFormat="1" x14ac:dyDescent="0.3">
      <c r="A381" s="40" t="str">
        <f t="shared" si="54"/>
        <v>Energy Saver Incentive</v>
      </c>
      <c r="B381" s="104" t="s">
        <v>24</v>
      </c>
      <c r="C381" s="104" t="s">
        <v>11</v>
      </c>
      <c r="D381" s="120">
        <f t="shared" si="55"/>
        <v>0.39</v>
      </c>
      <c r="E381" s="120">
        <f t="shared" si="55"/>
        <v>0.39</v>
      </c>
      <c r="F381" s="120">
        <f t="shared" si="55"/>
        <v>0.38</v>
      </c>
      <c r="G381" s="120">
        <f t="shared" si="55"/>
        <v>0.38</v>
      </c>
      <c r="H381" s="120">
        <f t="shared" si="55"/>
        <v>0.38</v>
      </c>
    </row>
    <row r="382" spans="1:8" s="35" customFormat="1" x14ac:dyDescent="0.3">
      <c r="A382" s="40" t="str">
        <f t="shared" si="54"/>
        <v>blank</v>
      </c>
      <c r="B382" s="104" t="s">
        <v>24</v>
      </c>
      <c r="C382" s="104" t="s">
        <v>11</v>
      </c>
      <c r="D382" s="120">
        <f t="shared" si="55"/>
        <v>0</v>
      </c>
      <c r="E382" s="120">
        <f t="shared" si="55"/>
        <v>0</v>
      </c>
      <c r="F382" s="120">
        <f t="shared" si="55"/>
        <v>0</v>
      </c>
      <c r="G382" s="120">
        <f t="shared" si="55"/>
        <v>0</v>
      </c>
      <c r="H382" s="120">
        <f t="shared" si="55"/>
        <v>0</v>
      </c>
    </row>
    <row r="383" spans="1:8" x14ac:dyDescent="0.3">
      <c r="B383" s="63"/>
      <c r="C383" s="63"/>
      <c r="D383" s="63"/>
      <c r="E383" s="63"/>
      <c r="F383" s="63"/>
      <c r="G383" s="63"/>
      <c r="H383" s="63"/>
    </row>
    <row r="384" spans="1:8" x14ac:dyDescent="0.3">
      <c r="A384" s="54" t="str">
        <f>Dist4</f>
        <v>United</v>
      </c>
      <c r="B384" s="104"/>
      <c r="C384" s="104"/>
      <c r="D384" s="104"/>
      <c r="E384" s="104"/>
      <c r="F384" s="104"/>
      <c r="G384" s="104"/>
      <c r="H384" s="104"/>
    </row>
    <row r="385" spans="1:8" x14ac:dyDescent="0.3">
      <c r="A385" s="40" t="str">
        <f t="shared" ref="A385:A393" si="56">A374</f>
        <v>Retail operating Cost</v>
      </c>
      <c r="B385" s="104" t="s">
        <v>24</v>
      </c>
      <c r="C385" s="104" t="s">
        <v>11</v>
      </c>
      <c r="D385" s="120">
        <f t="shared" ref="D385:H393" si="57">IF($C815="$/mwh",D815*100/1000,IF($C815="$/kwh",D815*100,D815))</f>
        <v>0</v>
      </c>
      <c r="E385" s="120">
        <f t="shared" si="57"/>
        <v>0</v>
      </c>
      <c r="F385" s="120">
        <f t="shared" si="57"/>
        <v>0</v>
      </c>
      <c r="G385" s="120">
        <f t="shared" si="57"/>
        <v>0</v>
      </c>
      <c r="H385" s="120">
        <f t="shared" si="57"/>
        <v>0</v>
      </c>
    </row>
    <row r="386" spans="1:8" x14ac:dyDescent="0.3">
      <c r="A386" s="40" t="str">
        <f t="shared" si="56"/>
        <v>Generation</v>
      </c>
      <c r="B386" s="104" t="s">
        <v>24</v>
      </c>
      <c r="C386" s="104" t="s">
        <v>11</v>
      </c>
      <c r="D386" s="120">
        <f t="shared" si="57"/>
        <v>7.5714250313030824</v>
      </c>
      <c r="E386" s="120">
        <f t="shared" si="57"/>
        <v>6.6049658691689688</v>
      </c>
      <c r="F386" s="120">
        <f t="shared" si="57"/>
        <v>8.3347145017820239</v>
      </c>
      <c r="G386" s="120">
        <f t="shared" si="57"/>
        <v>0</v>
      </c>
      <c r="H386" s="120">
        <f t="shared" si="57"/>
        <v>0</v>
      </c>
    </row>
    <row r="387" spans="1:8" x14ac:dyDescent="0.3">
      <c r="A387" s="40" t="str">
        <f t="shared" si="56"/>
        <v xml:space="preserve">Losses </v>
      </c>
      <c r="B387" s="104" t="s">
        <v>24</v>
      </c>
      <c r="C387" s="104" t="s">
        <v>11</v>
      </c>
      <c r="D387" s="120">
        <f t="shared" si="57"/>
        <v>0.27300000000000002</v>
      </c>
      <c r="E387" s="120">
        <f t="shared" si="57"/>
        <v>0.27300000000000002</v>
      </c>
      <c r="F387" s="120">
        <f t="shared" si="57"/>
        <v>0.27300000000000002</v>
      </c>
      <c r="G387" s="120">
        <f t="shared" si="57"/>
        <v>0</v>
      </c>
      <c r="H387" s="120">
        <f t="shared" si="57"/>
        <v>0</v>
      </c>
    </row>
    <row r="388" spans="1:8" x14ac:dyDescent="0.3">
      <c r="A388" s="40" t="str">
        <f t="shared" si="56"/>
        <v>Market Fees</v>
      </c>
      <c r="B388" s="104" t="s">
        <v>24</v>
      </c>
      <c r="C388" s="104" t="s">
        <v>11</v>
      </c>
      <c r="D388" s="120">
        <f t="shared" si="57"/>
        <v>7.9999999999999988E-2</v>
      </c>
      <c r="E388" s="120">
        <f t="shared" si="57"/>
        <v>7.9999999999999988E-2</v>
      </c>
      <c r="F388" s="120">
        <f t="shared" si="57"/>
        <v>7.9999999999999988E-2</v>
      </c>
      <c r="G388" s="120">
        <f t="shared" si="57"/>
        <v>0</v>
      </c>
      <c r="H388" s="120">
        <f t="shared" si="57"/>
        <v>0</v>
      </c>
    </row>
    <row r="389" spans="1:8" x14ac:dyDescent="0.3">
      <c r="A389" s="40" t="str">
        <f t="shared" si="56"/>
        <v>Carbon</v>
      </c>
      <c r="B389" s="104" t="s">
        <v>24</v>
      </c>
      <c r="C389" s="104" t="s">
        <v>11</v>
      </c>
      <c r="D389" s="120">
        <f t="shared" si="57"/>
        <v>0</v>
      </c>
      <c r="E389" s="120">
        <f t="shared" si="57"/>
        <v>0</v>
      </c>
      <c r="F389" s="120">
        <f t="shared" si="57"/>
        <v>2.2400000000000002</v>
      </c>
      <c r="G389" s="120">
        <f t="shared" si="57"/>
        <v>0</v>
      </c>
      <c r="H389" s="120">
        <f t="shared" si="57"/>
        <v>0</v>
      </c>
    </row>
    <row r="390" spans="1:8" x14ac:dyDescent="0.3">
      <c r="A390" s="40" t="str">
        <f t="shared" si="56"/>
        <v>LRET</v>
      </c>
      <c r="B390" s="104" t="s">
        <v>24</v>
      </c>
      <c r="C390" s="104" t="s">
        <v>11</v>
      </c>
      <c r="D390" s="120">
        <f t="shared" si="57"/>
        <v>0.25473754178777863</v>
      </c>
      <c r="E390" s="120">
        <f t="shared" si="57"/>
        <v>0.44267417909205159</v>
      </c>
      <c r="F390" s="120">
        <f t="shared" si="57"/>
        <v>0.6628193665535661</v>
      </c>
      <c r="G390" s="120">
        <f t="shared" si="57"/>
        <v>0</v>
      </c>
      <c r="H390" s="120">
        <f t="shared" si="57"/>
        <v>0</v>
      </c>
    </row>
    <row r="391" spans="1:8" x14ac:dyDescent="0.3">
      <c r="A391" s="40" t="str">
        <f t="shared" si="56"/>
        <v>Small scale renewable energy scheme</v>
      </c>
      <c r="B391" s="104" t="s">
        <v>24</v>
      </c>
      <c r="C391" s="104" t="s">
        <v>11</v>
      </c>
      <c r="D391" s="120">
        <f t="shared" si="57"/>
        <v>0.43999227350852893</v>
      </c>
      <c r="E391" s="120">
        <f t="shared" si="57"/>
        <v>0.52897443353026441</v>
      </c>
      <c r="F391" s="120">
        <f t="shared" si="57"/>
        <v>0.2881821035194338</v>
      </c>
      <c r="G391" s="120">
        <f t="shared" si="57"/>
        <v>0</v>
      </c>
      <c r="H391" s="120">
        <f t="shared" si="57"/>
        <v>0</v>
      </c>
    </row>
    <row r="392" spans="1:8" x14ac:dyDescent="0.3">
      <c r="A392" s="40" t="str">
        <f t="shared" si="56"/>
        <v>Energy Saver Incentive</v>
      </c>
      <c r="B392" s="104" t="s">
        <v>24</v>
      </c>
      <c r="C392" s="104" t="s">
        <v>11</v>
      </c>
      <c r="D392" s="120">
        <f t="shared" si="57"/>
        <v>0.39</v>
      </c>
      <c r="E392" s="120">
        <f t="shared" si="57"/>
        <v>0.39</v>
      </c>
      <c r="F392" s="120">
        <f t="shared" si="57"/>
        <v>0.38</v>
      </c>
      <c r="G392" s="120">
        <f t="shared" si="57"/>
        <v>0.38</v>
      </c>
      <c r="H392" s="120">
        <f t="shared" si="57"/>
        <v>0.38</v>
      </c>
    </row>
    <row r="393" spans="1:8" x14ac:dyDescent="0.3">
      <c r="A393" s="40" t="str">
        <f t="shared" si="56"/>
        <v>blank</v>
      </c>
      <c r="B393" s="104" t="s">
        <v>24</v>
      </c>
      <c r="C393" s="104" t="s">
        <v>11</v>
      </c>
      <c r="D393" s="120">
        <f t="shared" si="57"/>
        <v>0</v>
      </c>
      <c r="E393" s="120">
        <f t="shared" si="57"/>
        <v>0</v>
      </c>
      <c r="F393" s="120">
        <f t="shared" si="57"/>
        <v>0</v>
      </c>
      <c r="G393" s="120">
        <f t="shared" si="57"/>
        <v>0</v>
      </c>
      <c r="H393" s="120">
        <f t="shared" si="57"/>
        <v>0</v>
      </c>
    </row>
    <row r="394" spans="1:8" ht="13.5" x14ac:dyDescent="0.25">
      <c r="G394" s="66"/>
      <c r="H394" s="66"/>
    </row>
    <row r="395" spans="1:8" x14ac:dyDescent="0.3">
      <c r="A395" s="54" t="str">
        <f>Dist5</f>
        <v>Jemena</v>
      </c>
      <c r="B395" s="104"/>
      <c r="C395" s="104"/>
      <c r="D395" s="104"/>
      <c r="E395" s="104"/>
      <c r="F395" s="104"/>
      <c r="G395" s="104"/>
      <c r="H395" s="104"/>
    </row>
    <row r="396" spans="1:8" x14ac:dyDescent="0.3">
      <c r="A396" s="40" t="str">
        <f t="shared" ref="A396:A404" si="58">A385</f>
        <v>Retail operating Cost</v>
      </c>
      <c r="B396" s="104" t="s">
        <v>24</v>
      </c>
      <c r="C396" s="104" t="s">
        <v>11</v>
      </c>
      <c r="D396" s="120">
        <f t="shared" ref="D396:H404" si="59">IF($C826="$/mwh",D826*100/1000,IF($C826="$/kwh",D826*100,D826))</f>
        <v>0</v>
      </c>
      <c r="E396" s="120">
        <f t="shared" si="59"/>
        <v>0</v>
      </c>
      <c r="F396" s="120">
        <f t="shared" si="59"/>
        <v>0</v>
      </c>
      <c r="G396" s="120">
        <f t="shared" si="59"/>
        <v>0</v>
      </c>
      <c r="H396" s="120">
        <f t="shared" si="59"/>
        <v>0</v>
      </c>
    </row>
    <row r="397" spans="1:8" x14ac:dyDescent="0.3">
      <c r="A397" s="40" t="str">
        <f t="shared" si="58"/>
        <v>Generation</v>
      </c>
      <c r="B397" s="104" t="s">
        <v>24</v>
      </c>
      <c r="C397" s="104" t="s">
        <v>11</v>
      </c>
      <c r="D397" s="120">
        <f t="shared" si="59"/>
        <v>7.4552776975079666</v>
      </c>
      <c r="E397" s="120">
        <f t="shared" si="59"/>
        <v>6.5036442325761161</v>
      </c>
      <c r="F397" s="120">
        <f t="shared" si="59"/>
        <v>8.2068581387693591</v>
      </c>
      <c r="G397" s="120">
        <f t="shared" si="59"/>
        <v>0</v>
      </c>
      <c r="H397" s="120">
        <f t="shared" si="59"/>
        <v>0</v>
      </c>
    </row>
    <row r="398" spans="1:8" x14ac:dyDescent="0.3">
      <c r="A398" s="40" t="str">
        <f t="shared" si="58"/>
        <v xml:space="preserve">Losses </v>
      </c>
      <c r="B398" s="104" t="s">
        <v>24</v>
      </c>
      <c r="C398" s="104" t="s">
        <v>11</v>
      </c>
      <c r="D398" s="120">
        <f t="shared" si="59"/>
        <v>0.27300000000000002</v>
      </c>
      <c r="E398" s="120">
        <f t="shared" si="59"/>
        <v>0.27300000000000002</v>
      </c>
      <c r="F398" s="120">
        <f t="shared" si="59"/>
        <v>0.27300000000000002</v>
      </c>
      <c r="G398" s="120">
        <f t="shared" si="59"/>
        <v>0</v>
      </c>
      <c r="H398" s="120">
        <f t="shared" si="59"/>
        <v>0</v>
      </c>
    </row>
    <row r="399" spans="1:8" x14ac:dyDescent="0.3">
      <c r="A399" s="40" t="str">
        <f t="shared" si="58"/>
        <v>Market Fees</v>
      </c>
      <c r="B399" s="104" t="s">
        <v>24</v>
      </c>
      <c r="C399" s="104" t="s">
        <v>11</v>
      </c>
      <c r="D399" s="120">
        <f t="shared" si="59"/>
        <v>7.9999999999999988E-2</v>
      </c>
      <c r="E399" s="120">
        <f t="shared" si="59"/>
        <v>7.9999999999999988E-2</v>
      </c>
      <c r="F399" s="120">
        <f t="shared" si="59"/>
        <v>7.9999999999999988E-2</v>
      </c>
      <c r="G399" s="120">
        <f t="shared" si="59"/>
        <v>0</v>
      </c>
      <c r="H399" s="120">
        <f t="shared" si="59"/>
        <v>0</v>
      </c>
    </row>
    <row r="400" spans="1:8" x14ac:dyDescent="0.3">
      <c r="A400" s="40" t="str">
        <f t="shared" si="58"/>
        <v>Carbon</v>
      </c>
      <c r="B400" s="104" t="s">
        <v>24</v>
      </c>
      <c r="C400" s="104" t="s">
        <v>11</v>
      </c>
      <c r="D400" s="120">
        <f t="shared" si="59"/>
        <v>0</v>
      </c>
      <c r="E400" s="120">
        <f t="shared" si="59"/>
        <v>0</v>
      </c>
      <c r="F400" s="120">
        <f t="shared" si="59"/>
        <v>2.2400000000000002</v>
      </c>
      <c r="G400" s="120">
        <f t="shared" si="59"/>
        <v>0</v>
      </c>
      <c r="H400" s="120">
        <f t="shared" si="59"/>
        <v>0</v>
      </c>
    </row>
    <row r="401" spans="1:9" x14ac:dyDescent="0.3">
      <c r="A401" s="40" t="str">
        <f t="shared" si="58"/>
        <v>LRET</v>
      </c>
      <c r="B401" s="104" t="s">
        <v>24</v>
      </c>
      <c r="C401" s="104" t="s">
        <v>11</v>
      </c>
      <c r="D401" s="120">
        <f t="shared" si="59"/>
        <v>0.25473754178777863</v>
      </c>
      <c r="E401" s="120">
        <f t="shared" si="59"/>
        <v>0.44267417909205159</v>
      </c>
      <c r="F401" s="120">
        <f t="shared" si="59"/>
        <v>0.6628193665535661</v>
      </c>
      <c r="G401" s="120">
        <f t="shared" si="59"/>
        <v>0</v>
      </c>
      <c r="H401" s="120">
        <f t="shared" si="59"/>
        <v>0</v>
      </c>
    </row>
    <row r="402" spans="1:9" x14ac:dyDescent="0.3">
      <c r="A402" s="40" t="str">
        <f t="shared" si="58"/>
        <v>Small scale renewable energy scheme</v>
      </c>
      <c r="B402" s="104" t="s">
        <v>24</v>
      </c>
      <c r="C402" s="104" t="s">
        <v>11</v>
      </c>
      <c r="D402" s="120">
        <f t="shared" si="59"/>
        <v>0.43999227350852893</v>
      </c>
      <c r="E402" s="120">
        <f t="shared" si="59"/>
        <v>0.52897443353026441</v>
      </c>
      <c r="F402" s="120">
        <f t="shared" si="59"/>
        <v>0.2881821035194338</v>
      </c>
      <c r="G402" s="120">
        <f t="shared" si="59"/>
        <v>0</v>
      </c>
      <c r="H402" s="120">
        <f t="shared" si="59"/>
        <v>0</v>
      </c>
    </row>
    <row r="403" spans="1:9" x14ac:dyDescent="0.3">
      <c r="A403" s="40" t="str">
        <f t="shared" si="58"/>
        <v>Energy Saver Incentive</v>
      </c>
      <c r="B403" s="104" t="s">
        <v>24</v>
      </c>
      <c r="C403" s="104" t="s">
        <v>11</v>
      </c>
      <c r="D403" s="120">
        <f t="shared" si="59"/>
        <v>0.39</v>
      </c>
      <c r="E403" s="120">
        <f t="shared" si="59"/>
        <v>0.39</v>
      </c>
      <c r="F403" s="120">
        <f t="shared" si="59"/>
        <v>0.38</v>
      </c>
      <c r="G403" s="120">
        <f t="shared" si="59"/>
        <v>0.38</v>
      </c>
      <c r="H403" s="120">
        <f t="shared" si="59"/>
        <v>0.38</v>
      </c>
    </row>
    <row r="404" spans="1:9" x14ac:dyDescent="0.3">
      <c r="A404" s="40" t="str">
        <f t="shared" si="58"/>
        <v>blank</v>
      </c>
      <c r="B404" s="104" t="s">
        <v>24</v>
      </c>
      <c r="C404" s="104" t="s">
        <v>11</v>
      </c>
      <c r="D404" s="120">
        <f t="shared" si="59"/>
        <v>0</v>
      </c>
      <c r="E404" s="120">
        <f t="shared" si="59"/>
        <v>0</v>
      </c>
      <c r="F404" s="120">
        <f t="shared" si="59"/>
        <v>0</v>
      </c>
      <c r="G404" s="120">
        <f t="shared" si="59"/>
        <v>0</v>
      </c>
      <c r="H404" s="120">
        <f t="shared" si="59"/>
        <v>0</v>
      </c>
    </row>
    <row r="405" spans="1:9" s="104" customFormat="1" x14ac:dyDescent="0.3">
      <c r="B405" s="113"/>
      <c r="C405" s="113"/>
      <c r="D405" s="113"/>
      <c r="E405" s="113"/>
      <c r="F405" s="113"/>
      <c r="G405" s="113"/>
      <c r="H405" s="113"/>
    </row>
    <row r="406" spans="1:9" s="104" customFormat="1" x14ac:dyDescent="0.3">
      <c r="A406" s="21" t="s">
        <v>120</v>
      </c>
      <c r="B406" s="113"/>
      <c r="C406" s="113"/>
      <c r="D406" s="113"/>
      <c r="E406" s="113"/>
      <c r="F406" s="113"/>
      <c r="G406" s="113"/>
      <c r="H406" s="113"/>
    </row>
    <row r="407" spans="1:9" s="104" customFormat="1" x14ac:dyDescent="0.3">
      <c r="A407" s="21"/>
      <c r="B407" s="113"/>
      <c r="C407" s="113"/>
      <c r="D407" s="113"/>
      <c r="E407" s="113"/>
      <c r="F407" s="113"/>
      <c r="G407" s="113"/>
      <c r="H407" s="113"/>
    </row>
    <row r="408" spans="1:9" s="104" customFormat="1" x14ac:dyDescent="0.3">
      <c r="A408" s="21" t="s">
        <v>72</v>
      </c>
      <c r="B408" s="113"/>
      <c r="C408" s="113"/>
      <c r="D408" s="113"/>
      <c r="E408" s="113"/>
      <c r="F408" s="113"/>
      <c r="G408" s="122"/>
      <c r="H408" s="113"/>
    </row>
    <row r="409" spans="1:9" s="104" customFormat="1" x14ac:dyDescent="0.3">
      <c r="A409" s="113" t="s">
        <v>116</v>
      </c>
      <c r="B409" s="113" t="s">
        <v>36</v>
      </c>
      <c r="C409" s="104" t="s">
        <v>11</v>
      </c>
      <c r="D409" s="113"/>
      <c r="E409" s="113"/>
      <c r="F409" s="113"/>
      <c r="G409" s="111">
        <f>IF(F355&gt;0, IF('Input Global'!$B$60="frontier number",'Input Frontier'!G8,IF('Input Global'!$B$60="CPI",$F$355*(1+inflation),$F$355*('Input Frontier'!G8/'Input Frontier'!F8))),0)</f>
        <v>8.1818181818181804E-2</v>
      </c>
      <c r="H409" s="111">
        <f>IF(F355&gt;0, IF('Input Global'!$B$60="frontier number",'Input Frontier'!H8,IF('Input Global'!$B$60="CPI",$F$355*(1+inflation)^2,$F$355*('Input Frontier'!H8/'Input Frontier'!G8))),0)</f>
        <v>8.1481481481481474E-2</v>
      </c>
      <c r="I409" s="42"/>
    </row>
    <row r="410" spans="1:9" s="104" customFormat="1" x14ac:dyDescent="0.3">
      <c r="F410" s="52"/>
    </row>
    <row r="411" spans="1:9" s="104" customFormat="1" x14ac:dyDescent="0.3">
      <c r="A411" s="114" t="str">
        <f>Dist1&amp;" region"</f>
        <v>Citipower region</v>
      </c>
      <c r="B411" s="113"/>
      <c r="D411" s="113"/>
      <c r="E411" s="113"/>
      <c r="F411" s="115"/>
      <c r="G411" s="113"/>
      <c r="H411" s="113"/>
    </row>
    <row r="412" spans="1:9" s="104" customFormat="1" x14ac:dyDescent="0.3">
      <c r="A412" s="104" t="str">
        <f ca="1">'Calc (Jurisdiction)'!$B$2</f>
        <v>Calc (Jurisdiction)</v>
      </c>
      <c r="B412" s="153" t="s">
        <v>36</v>
      </c>
      <c r="C412" s="104" t="s">
        <v>11</v>
      </c>
      <c r="D412" s="113"/>
      <c r="E412" s="113"/>
      <c r="F412" s="115"/>
      <c r="G412" s="152">
        <f>G415</f>
        <v>7.8328165091902191</v>
      </c>
      <c r="H412" s="152">
        <f>H415</f>
        <v>8.3484988215839699</v>
      </c>
    </row>
    <row r="413" spans="1:9" s="104" customFormat="1" x14ac:dyDescent="0.3">
      <c r="A413" s="104" t="str">
        <f ca="1">'Calc (LRMC Planning case)'!$B$2</f>
        <v>Calc (LRMC Planning case)</v>
      </c>
      <c r="B413" s="113" t="s">
        <v>36</v>
      </c>
      <c r="C413" s="104" t="s">
        <v>11</v>
      </c>
      <c r="D413" s="113"/>
      <c r="E413" s="113"/>
      <c r="F413" s="113"/>
      <c r="G413" s="111">
        <f>IF('Input Global'!$B$60="frontier number",'Input Frontier'!G12,IF('Input Global'!$B$60="CPI",$F$353*(1+inflation),$F$353*('Input Frontier'!G12/'Input Frontier'!F12)))</f>
        <v>8.5315737729070165</v>
      </c>
      <c r="H413" s="111">
        <f>IF('Input Global'!$B$60="frontier number",'Input Frontier'!H12,IF('Input Global'!$B$60="CPI",$F$353*(1+inflation)^2,G413*('Input Frontier'!H12/'Input Frontier'!G12)))</f>
        <v>8.969956086578172</v>
      </c>
    </row>
    <row r="414" spans="1:9" s="104" customFormat="1" x14ac:dyDescent="0.3">
      <c r="A414" s="104" t="str">
        <f ca="1">'Calc (LRMC Slow Rate)'!$B$2</f>
        <v>Calc (LRMC Slow Rate)</v>
      </c>
      <c r="B414" s="113" t="s">
        <v>36</v>
      </c>
      <c r="C414" s="104" t="s">
        <v>11</v>
      </c>
      <c r="D414" s="113"/>
      <c r="E414" s="113"/>
      <c r="F414" s="113"/>
      <c r="G414" s="111">
        <f>IF('Input Global'!$B$60="frontier number",'Input Frontier'!G13,IF('Input Global'!$B$60="CPI",$F$353*(1+inflation),$F$353*('Input Frontier'!G13/'Input Frontier'!F13)))</f>
        <v>8.6785353587509206</v>
      </c>
      <c r="H414" s="111">
        <f>IF('Input Global'!$B$60="frontier number",'Input Frontier'!H13,IF('Input Global'!$B$60="CPI",$F$353*(1+inflation)^2,G414*('Input Frontier'!H13/'Input Frontier'!G13)))</f>
        <v>9.0173536557006742</v>
      </c>
    </row>
    <row r="415" spans="1:9" s="104" customFormat="1" x14ac:dyDescent="0.3">
      <c r="A415" s="104" t="str">
        <f ca="1">'Calc (Market Planning Case)'!$B$2</f>
        <v>Calc (Market Planning Case)</v>
      </c>
      <c r="B415" s="113" t="s">
        <v>36</v>
      </c>
      <c r="C415" s="104" t="s">
        <v>11</v>
      </c>
      <c r="D415" s="113"/>
      <c r="E415" s="113"/>
      <c r="F415" s="113"/>
      <c r="G415" s="111">
        <f>IF('Input Global'!$B$60="frontier number",'Input Frontier'!G14,IF('Input Global'!$B$60="CPI",$F$353*(1+inflation),$F$353*('Input Frontier'!G14/'Input Frontier'!F14)))</f>
        <v>7.8328165091902191</v>
      </c>
      <c r="H415" s="111">
        <f>IF('Input Global'!$B$60="frontier number",'Input Frontier'!H14,IF('Input Global'!$B$60="CPI",$F$353*(1+inflation)^2,G415*('Input Frontier'!H14/'Input Frontier'!G14)))</f>
        <v>8.3484988215839699</v>
      </c>
    </row>
    <row r="416" spans="1:9" s="104" customFormat="1" x14ac:dyDescent="0.3">
      <c r="A416" s="104" t="str">
        <f ca="1">'Calc (Market Slow Rate)'!$B$2</f>
        <v>Calc (Market Slow Rate)</v>
      </c>
      <c r="B416" s="113" t="s">
        <v>36</v>
      </c>
      <c r="C416" s="104" t="s">
        <v>11</v>
      </c>
      <c r="D416" s="113"/>
      <c r="E416" s="113"/>
      <c r="F416" s="113"/>
      <c r="G416" s="111">
        <f>IF('Input Global'!$B$60="frontier number",'Input Frontier'!G15,IF('Input Global'!$B$60="CPI",$F$353*(1+inflation),$F$353*('Input Frontier'!G15/'Input Frontier'!F15)))</f>
        <v>8.3916094684465268</v>
      </c>
      <c r="H416" s="111">
        <f>IF('Input Global'!$B$60="frontier number",'Input Frontier'!H15,IF('Input Global'!$B$60="CPI",$F$353*(1+inflation)^2,G416*('Input Frontier'!H15/'Input Frontier'!G15)))</f>
        <v>8.1475210913855403</v>
      </c>
    </row>
    <row r="417" spans="1:8" s="104" customFormat="1" x14ac:dyDescent="0.3">
      <c r="A417" s="113"/>
      <c r="F417" s="116"/>
      <c r="G417" s="117"/>
      <c r="H417" s="117"/>
    </row>
    <row r="418" spans="1:8" s="104" customFormat="1" x14ac:dyDescent="0.3">
      <c r="A418" s="54" t="str">
        <f>Dist2</f>
        <v>Powercor</v>
      </c>
      <c r="F418" s="116"/>
    </row>
    <row r="419" spans="1:8" s="104" customFormat="1" x14ac:dyDescent="0.3">
      <c r="A419" s="104" t="str">
        <f ca="1">'Calc (Jurisdiction)'!$B$2</f>
        <v>Calc (Jurisdiction)</v>
      </c>
      <c r="B419" s="153" t="s">
        <v>36</v>
      </c>
      <c r="C419" s="104" t="s">
        <v>11</v>
      </c>
      <c r="F419" s="116"/>
      <c r="G419" s="152">
        <f>G422</f>
        <v>7.4095238478772574</v>
      </c>
      <c r="H419" s="152">
        <f>H422</f>
        <v>7.8939142126939448</v>
      </c>
    </row>
    <row r="420" spans="1:8" s="104" customFormat="1" x14ac:dyDescent="0.3">
      <c r="A420" s="104" t="str">
        <f ca="1">'Calc (LRMC Planning case)'!$B$2</f>
        <v>Calc (LRMC Planning case)</v>
      </c>
      <c r="B420" s="113" t="s">
        <v>36</v>
      </c>
      <c r="C420" s="104" t="s">
        <v>11</v>
      </c>
      <c r="D420" s="113"/>
      <c r="E420" s="113"/>
      <c r="F420" s="116"/>
      <c r="G420" s="111">
        <f>IF('Input Global'!$B$60="frontier number",'Input Frontier'!G18,IF('Input Global'!$B$60="CPI",$F$364*(1+inflation),$F$364*('Input Frontier'!G18/'Input Frontier'!F18)))</f>
        <v>8.0246862393018592</v>
      </c>
      <c r="H420" s="111">
        <f>IF('Input Global'!$B$60="frontier number",'Input Frontier'!H18,IF('Input Global'!$B$60="CPI",$F$364*(1+inflation)^2,G420*('Input Frontier'!H18/'Input Frontier'!G18)))</f>
        <v>8.4364346527953238</v>
      </c>
    </row>
    <row r="421" spans="1:8" s="104" customFormat="1" x14ac:dyDescent="0.3">
      <c r="A421" s="104" t="str">
        <f ca="1">'Calc (LRMC Slow Rate)'!$B$2</f>
        <v>Calc (LRMC Slow Rate)</v>
      </c>
      <c r="B421" s="113" t="s">
        <v>36</v>
      </c>
      <c r="C421" s="104" t="s">
        <v>11</v>
      </c>
      <c r="D421" s="113"/>
      <c r="E421" s="113"/>
      <c r="F421" s="116"/>
      <c r="G421" s="111">
        <f>IF('Input Global'!$B$60="frontier number",'Input Frontier'!G19,IF('Input Global'!$B$60="CPI",$F$364*(1+inflation),$F$364*('Input Frontier'!G19/'Input Frontier'!F19)))</f>
        <v>8.1534844012762289</v>
      </c>
      <c r="H421" s="111">
        <f>IF('Input Global'!$B$60="frontier number",'Input Frontier'!H19,IF('Input Global'!$B$60="CPI",$F$364*(1+inflation)^2,G421*('Input Frontier'!H19/'Input Frontier'!G19)))</f>
        <v>8.8997375082995198</v>
      </c>
    </row>
    <row r="422" spans="1:8" s="104" customFormat="1" ht="16.5" customHeight="1" x14ac:dyDescent="0.3">
      <c r="A422" s="104" t="str">
        <f ca="1">'Calc (Market Planning Case)'!$B$2</f>
        <v>Calc (Market Planning Case)</v>
      </c>
      <c r="B422" s="113" t="s">
        <v>36</v>
      </c>
      <c r="C422" s="104" t="s">
        <v>11</v>
      </c>
      <c r="D422" s="113"/>
      <c r="E422" s="113"/>
      <c r="F422" s="116"/>
      <c r="G422" s="111">
        <f>IF('Input Global'!$B$60="frontier number",'Input Frontier'!G20,IF('Input Global'!$B$60="CPI",$F$364*(1+inflation),$F$364*('Input Frontier'!G20/'Input Frontier'!F20)))</f>
        <v>7.4095238478772574</v>
      </c>
      <c r="H422" s="111">
        <f>IF('Input Global'!$B$60="frontier number",'Input Frontier'!H20,IF('Input Global'!$B$60="CPI",$F$364*(1+inflation)^2,G422*('Input Frontier'!H20/'Input Frontier'!G20)))</f>
        <v>7.8939142126939448</v>
      </c>
    </row>
    <row r="423" spans="1:8" s="104" customFormat="1" x14ac:dyDescent="0.3">
      <c r="A423" s="104" t="str">
        <f ca="1">'Calc (Market Slow Rate)'!$B$2</f>
        <v>Calc (Market Slow Rate)</v>
      </c>
      <c r="B423" s="113" t="s">
        <v>36</v>
      </c>
      <c r="C423" s="104" t="s">
        <v>11</v>
      </c>
      <c r="D423" s="113"/>
      <c r="E423" s="113"/>
      <c r="F423" s="116"/>
      <c r="G423" s="111">
        <f>IF('Input Global'!$B$60="frontier number",'Input Frontier'!G21,IF('Input Global'!$B$60="CPI",$F$364*(1+inflation),$F$364*('Input Frontier'!G21/'Input Frontier'!F21)))</f>
        <v>7.7151663298279072</v>
      </c>
      <c r="H423" s="111">
        <f>IF('Input Global'!$B$60="frontier number",'Input Frontier'!H21,IF('Input Global'!$B$60="CPI",$F$364*(1+inflation)^2,G423*('Input Frontier'!H21/'Input Frontier'!G21)))</f>
        <v>7.7095522562332297</v>
      </c>
    </row>
    <row r="424" spans="1:8" s="104" customFormat="1" x14ac:dyDescent="0.3">
      <c r="A424" s="118"/>
      <c r="B424" s="113"/>
      <c r="C424" s="113"/>
      <c r="D424" s="113"/>
      <c r="F424" s="52"/>
    </row>
    <row r="425" spans="1:8" s="104" customFormat="1" x14ac:dyDescent="0.3">
      <c r="A425" s="114" t="str">
        <f>Dist3</f>
        <v>SP Ausnet</v>
      </c>
      <c r="B425" s="113"/>
      <c r="C425" s="113"/>
      <c r="D425" s="113"/>
      <c r="E425" s="113"/>
      <c r="F425" s="52"/>
      <c r="G425" s="113"/>
      <c r="H425" s="113"/>
    </row>
    <row r="426" spans="1:8" s="104" customFormat="1" x14ac:dyDescent="0.3">
      <c r="A426" s="104" t="str">
        <f ca="1">'Calc (Jurisdiction)'!$B$2</f>
        <v>Calc (Jurisdiction)</v>
      </c>
      <c r="B426" s="153" t="s">
        <v>36</v>
      </c>
      <c r="C426" s="104" t="s">
        <v>11</v>
      </c>
      <c r="D426" s="113"/>
      <c r="E426" s="113"/>
      <c r="F426" s="52"/>
      <c r="G426" s="152">
        <f>G429</f>
        <v>7.7578587023924328</v>
      </c>
      <c r="H426" s="152">
        <f>H429</f>
        <v>8.2618890843380104</v>
      </c>
    </row>
    <row r="427" spans="1:8" s="104" customFormat="1" x14ac:dyDescent="0.3">
      <c r="A427" s="104" t="str">
        <f ca="1">'Calc (LRMC Planning case)'!$B$2</f>
        <v>Calc (LRMC Planning case)</v>
      </c>
      <c r="B427" s="113" t="s">
        <v>36</v>
      </c>
      <c r="C427" s="104" t="s">
        <v>11</v>
      </c>
      <c r="D427" s="113"/>
      <c r="E427" s="113"/>
      <c r="F427" s="52"/>
      <c r="G427" s="111">
        <f>IF('Input Global'!$B$60="frontier number",'Input Frontier'!G24,IF('Input Global'!$B$60="CPI",$F$375*(1+inflation),$F$375*('Input Frontier'!G24/'Input Frontier'!F24)))</f>
        <v>8.4106410673569449</v>
      </c>
      <c r="H427" s="111">
        <f>IF('Input Global'!$B$60="frontier number",'Input Frontier'!H24,IF('Input Global'!$B$60="CPI",$F$375*(1+inflation)^2,G427*('Input Frontier'!H24/'Input Frontier'!G24)))</f>
        <v>8.839639819501933</v>
      </c>
    </row>
    <row r="428" spans="1:8" s="104" customFormat="1" x14ac:dyDescent="0.3">
      <c r="A428" s="104" t="str">
        <f ca="1">'Calc (LRMC Slow Rate)'!$B$2</f>
        <v>Calc (LRMC Slow Rate)</v>
      </c>
      <c r="B428" s="113" t="s">
        <v>36</v>
      </c>
      <c r="C428" s="104" t="s">
        <v>11</v>
      </c>
      <c r="D428" s="113"/>
      <c r="E428" s="113"/>
      <c r="F428" s="52"/>
      <c r="G428" s="111">
        <f>IF('Input Global'!$B$60="frontier number",'Input Frontier'!G25,IF('Input Global'!$B$60="CPI",$F$375*(1+inflation),$F$375*('Input Frontier'!G25/'Input Frontier'!F25)))</f>
        <v>8.5438387512744143</v>
      </c>
      <c r="H428" s="111">
        <f>IF('Input Global'!$B$60="frontier number",'Input Frontier'!H25,IF('Input Global'!$B$60="CPI",$F$375*(1+inflation)^2,G428*('Input Frontier'!H25/'Input Frontier'!G25)))</f>
        <v>8.8786725032238802</v>
      </c>
    </row>
    <row r="429" spans="1:8" s="104" customFormat="1" x14ac:dyDescent="0.3">
      <c r="A429" s="104" t="str">
        <f ca="1">'Calc (Market Planning Case)'!$B$2</f>
        <v>Calc (Market Planning Case)</v>
      </c>
      <c r="B429" s="113" t="s">
        <v>36</v>
      </c>
      <c r="C429" s="104" t="s">
        <v>11</v>
      </c>
      <c r="D429" s="113"/>
      <c r="E429" s="113"/>
      <c r="F429" s="52"/>
      <c r="G429" s="111">
        <f>IF('Input Global'!$B$60="frontier number",'Input Frontier'!G26,IF('Input Global'!$B$60="CPI",$F$375*(1+inflation),$F$375*('Input Frontier'!G26/'Input Frontier'!F26)))</f>
        <v>7.7578587023924328</v>
      </c>
      <c r="H429" s="111">
        <f>IF('Input Global'!$B$60="frontier number",'Input Frontier'!H26,IF('Input Global'!$B$60="CPI",$F$375*(1+inflation)^2,G429*('Input Frontier'!H26/'Input Frontier'!G26)))</f>
        <v>8.2618890843380104</v>
      </c>
    </row>
    <row r="430" spans="1:8" s="104" customFormat="1" x14ac:dyDescent="0.3">
      <c r="A430" s="104" t="str">
        <f ca="1">'Calc (Market Slow Rate)'!$B$2</f>
        <v>Calc (Market Slow Rate)</v>
      </c>
      <c r="B430" s="113" t="s">
        <v>36</v>
      </c>
      <c r="C430" s="104" t="s">
        <v>11</v>
      </c>
      <c r="D430" s="113"/>
      <c r="E430" s="113"/>
      <c r="F430" s="52"/>
      <c r="G430" s="111">
        <f>IF('Input Global'!$B$60="frontier number",'Input Frontier'!G27,IF('Input Global'!$B$60="CPI",$F$375*(1+inflation),$F$375*('Input Frontier'!G27/'Input Frontier'!F27)))</f>
        <v>8.0922896599193805</v>
      </c>
      <c r="H430" s="111">
        <f>IF('Input Global'!$B$60="frontier number",'Input Frontier'!H27,IF('Input Global'!$B$60="CPI",$F$375*(1+inflation)^2,G430*('Input Frontier'!H27/'Input Frontier'!G27)))</f>
        <v>8.0760158055867297</v>
      </c>
    </row>
    <row r="431" spans="1:8" s="104" customFormat="1" x14ac:dyDescent="0.3">
      <c r="F431" s="52"/>
    </row>
    <row r="432" spans="1:8" s="104" customFormat="1" x14ac:dyDescent="0.3">
      <c r="A432" s="114" t="str">
        <f>Dist4</f>
        <v>United</v>
      </c>
      <c r="B432" s="113"/>
      <c r="C432" s="113"/>
      <c r="D432" s="113"/>
      <c r="E432" s="113"/>
      <c r="F432" s="115"/>
      <c r="G432" s="113"/>
      <c r="H432" s="113"/>
    </row>
    <row r="433" spans="1:8" s="104" customFormat="1" x14ac:dyDescent="0.3">
      <c r="A433" s="104" t="str">
        <f ca="1">'Calc (Jurisdiction)'!$B$2</f>
        <v>Calc (Jurisdiction)</v>
      </c>
      <c r="B433" s="153" t="s">
        <v>36</v>
      </c>
      <c r="C433" s="104" t="s">
        <v>11</v>
      </c>
      <c r="D433" s="113"/>
      <c r="E433" s="113"/>
      <c r="F433" s="115"/>
      <c r="G433" s="152">
        <f>G436</f>
        <v>7.9455408430437036</v>
      </c>
      <c r="H433" s="152">
        <f>H436</f>
        <v>8.468590782060426</v>
      </c>
    </row>
    <row r="434" spans="1:8" s="104" customFormat="1" x14ac:dyDescent="0.3">
      <c r="A434" s="104" t="str">
        <f ca="1">'Calc (LRMC Planning case)'!$B$2</f>
        <v>Calc (LRMC Planning case)</v>
      </c>
      <c r="B434" s="113" t="s">
        <v>36</v>
      </c>
      <c r="C434" s="104" t="s">
        <v>11</v>
      </c>
      <c r="D434" s="113"/>
      <c r="E434" s="113"/>
      <c r="F434" s="115"/>
      <c r="G434" s="111">
        <f>IF('Input Global'!$B$60="frontier number",'Input Frontier'!G30,IF('Input Global'!$B$60="CPI",$F$386*(1+inflation),$F$386*('Input Frontier'!G30/'Input Frontier'!F30)))</f>
        <v>8.6342549175840269</v>
      </c>
      <c r="H434" s="111">
        <f>IF('Input Global'!$B$60="frontier number",'Input Frontier'!H30,IF('Input Global'!$B$60="CPI",$F$386*(1+inflation)^2,G434*('Input Frontier'!H30/'Input Frontier'!G30)))</f>
        <v>9.0644873080773483</v>
      </c>
    </row>
    <row r="435" spans="1:8" s="104" customFormat="1" x14ac:dyDescent="0.3">
      <c r="A435" s="104" t="str">
        <f ca="1">'Calc (LRMC Slow Rate)'!$B$2</f>
        <v>Calc (LRMC Slow Rate)</v>
      </c>
      <c r="B435" s="113" t="s">
        <v>36</v>
      </c>
      <c r="C435" s="104" t="s">
        <v>11</v>
      </c>
      <c r="D435" s="113"/>
      <c r="E435" s="113"/>
      <c r="F435" s="115"/>
      <c r="G435" s="111">
        <f>IF('Input Global'!$B$60="frontier number",'Input Frontier'!G31,IF('Input Global'!$B$60="CPI",$F$386*(1+inflation),$F$386*('Input Frontier'!G31/'Input Frontier'!F31)))</f>
        <v>8.7693020537511615</v>
      </c>
      <c r="H435" s="111">
        <f>IF('Input Global'!$B$60="frontier number",'Input Frontier'!H31,IF('Input Global'!$B$60="CPI",$F$386*(1+inflation)^2,G435*('Input Frontier'!H31/'Input Frontier'!G31)))</f>
        <v>9.1063933602971368</v>
      </c>
    </row>
    <row r="436" spans="1:8" s="104" customFormat="1" x14ac:dyDescent="0.3">
      <c r="A436" s="104" t="str">
        <f ca="1">'Calc (Market Planning Case)'!$B$2</f>
        <v>Calc (Market Planning Case)</v>
      </c>
      <c r="B436" s="113" t="s">
        <v>36</v>
      </c>
      <c r="C436" s="104" t="s">
        <v>11</v>
      </c>
      <c r="D436" s="113"/>
      <c r="E436" s="113"/>
      <c r="F436" s="115"/>
      <c r="G436" s="111">
        <f>IF('Input Global'!$B$60="frontier number",'Input Frontier'!G32,IF('Input Global'!$B$60="CPI",$F$386*(1+inflation),$F$386*('Input Frontier'!G32/'Input Frontier'!F32)))</f>
        <v>7.9455408430437036</v>
      </c>
      <c r="H436" s="111">
        <f>IF('Input Global'!$B$60="frontier number",'Input Frontier'!H32,IF('Input Global'!$B$60="CPI",$F$386*(1+inflation)^2,G436*('Input Frontier'!H32/'Input Frontier'!G32)))</f>
        <v>8.468590782060426</v>
      </c>
    </row>
    <row r="437" spans="1:8" s="104" customFormat="1" x14ac:dyDescent="0.3">
      <c r="A437" s="104" t="str">
        <f ca="1">'Calc (Market Slow Rate)'!$B$2</f>
        <v>Calc (Market Slow Rate)</v>
      </c>
      <c r="B437" s="113" t="s">
        <v>36</v>
      </c>
      <c r="C437" s="104" t="s">
        <v>11</v>
      </c>
      <c r="D437" s="113"/>
      <c r="E437" s="113"/>
      <c r="F437" s="115"/>
      <c r="G437" s="111">
        <f>IF('Input Global'!$B$60="frontier number",'Input Frontier'!G33,IF('Input Global'!$B$60="CPI",$F$386*(1+inflation),$F$386*('Input Frontier'!G33/'Input Frontier'!F33)))</f>
        <v>8.2926080030625897</v>
      </c>
      <c r="H437" s="111">
        <f>IF('Input Global'!$B$60="frontier number",'Input Frontier'!H33,IF('Input Global'!$B$60="CPI",$F$386*(1+inflation)^2,G437*('Input Frontier'!H33/'Input Frontier'!G33)))</f>
        <v>8.2621806162305163</v>
      </c>
    </row>
    <row r="438" spans="1:8" s="104" customFormat="1" x14ac:dyDescent="0.3">
      <c r="F438" s="52"/>
    </row>
    <row r="439" spans="1:8" s="104" customFormat="1" x14ac:dyDescent="0.3">
      <c r="A439" s="114" t="str">
        <f>Dist5</f>
        <v>Jemena</v>
      </c>
      <c r="B439" s="113"/>
      <c r="C439" s="113"/>
      <c r="D439" s="113"/>
      <c r="E439" s="113"/>
      <c r="F439" s="115"/>
      <c r="G439" s="113"/>
      <c r="H439" s="113"/>
    </row>
    <row r="440" spans="1:8" s="104" customFormat="1" x14ac:dyDescent="0.3">
      <c r="A440" s="104" t="str">
        <f ca="1">'Calc (Jurisdiction)'!$B$2</f>
        <v>Calc (Jurisdiction)</v>
      </c>
      <c r="B440" s="153" t="s">
        <v>36</v>
      </c>
      <c r="C440" s="104" t="s">
        <v>11</v>
      </c>
      <c r="D440" s="113"/>
      <c r="E440" s="113"/>
      <c r="F440" s="115"/>
      <c r="G440" s="152">
        <f>G443</f>
        <v>7.820385683438575</v>
      </c>
      <c r="H440" s="152">
        <f>H443</f>
        <v>8.3340624365748148</v>
      </c>
    </row>
    <row r="441" spans="1:8" s="104" customFormat="1" x14ac:dyDescent="0.3">
      <c r="A441" s="104" t="str">
        <f ca="1">'Calc (LRMC Planning case)'!$B$2</f>
        <v>Calc (LRMC Planning case)</v>
      </c>
      <c r="B441" s="113" t="s">
        <v>36</v>
      </c>
      <c r="C441" s="104" t="s">
        <v>11</v>
      </c>
      <c r="D441" s="113"/>
      <c r="E441" s="113"/>
      <c r="F441" s="115"/>
      <c r="G441" s="111">
        <f>IF('Input Global'!$B$60="frontier number",'Input Frontier'!G36,IF('Input Global'!$B$60="CPI",F397*(1+inflation),$F$397*('Input Frontier'!G36/'Input Frontier'!F36)))</f>
        <v>8.5030328492789593</v>
      </c>
      <c r="H441" s="111">
        <f>IF('Input Global'!$B$60="frontier number",'Input Frontier'!H36,IF('Input Global'!$B$60="CPI",$F$397*(1+inflation)^2,G441*('Input Frontier'!H36/'Input Frontier'!G36)))</f>
        <v>8.9294717142139977</v>
      </c>
    </row>
    <row r="442" spans="1:8" s="104" customFormat="1" x14ac:dyDescent="0.3">
      <c r="A442" s="104" t="str">
        <f ca="1">'Calc (LRMC Slow Rate)'!$B$2</f>
        <v>Calc (LRMC Slow Rate)</v>
      </c>
      <c r="B442" s="113" t="s">
        <v>36</v>
      </c>
      <c r="C442" s="104" t="s">
        <v>11</v>
      </c>
      <c r="D442" s="113"/>
      <c r="E442" s="113"/>
      <c r="F442" s="115"/>
      <c r="G442" s="111">
        <f>IF('Input Global'!$B$60="frontier number",'Input Frontier'!G37,IF('Input Global'!$B$60="CPI",F398*(1+inflation),$F$397*('Input Frontier'!G37/'Input Frontier'!F37)))</f>
        <v>8.6386409112701728</v>
      </c>
      <c r="H442" s="111">
        <f>IF('Input Global'!$B$60="frontier number",'Input Frontier'!H37,IF('Input Global'!$B$60="CPI",$F$397*(1+inflation)^2,G442*('Input Frontier'!H37/'Input Frontier'!G37)))</f>
        <v>8.9720369042669965</v>
      </c>
    </row>
    <row r="443" spans="1:8" s="104" customFormat="1" x14ac:dyDescent="0.3">
      <c r="A443" s="104" t="str">
        <f ca="1">'Calc (Market Planning Case)'!$B$2</f>
        <v>Calc (Market Planning Case)</v>
      </c>
      <c r="B443" s="113" t="s">
        <v>36</v>
      </c>
      <c r="C443" s="104" t="s">
        <v>11</v>
      </c>
      <c r="D443" s="113"/>
      <c r="E443" s="113"/>
      <c r="F443" s="115"/>
      <c r="G443" s="111">
        <f>IF('Input Global'!$B$60="frontier number",'Input Frontier'!G38,IF('Input Global'!$B$60="CPI",F399*(1+inflation),$F$397*('Input Frontier'!G38/'Input Frontier'!F38)))</f>
        <v>7.820385683438575</v>
      </c>
      <c r="H443" s="111">
        <f>IF('Input Global'!$B$60="frontier number",'Input Frontier'!H38,IF('Input Global'!$B$60="CPI",$F$397*(1+inflation)^2,G443*('Input Frontier'!H38/'Input Frontier'!G38)))</f>
        <v>8.3340624365748148</v>
      </c>
    </row>
    <row r="444" spans="1:8" s="104" customFormat="1" x14ac:dyDescent="0.3">
      <c r="A444" s="104" t="str">
        <f ca="1">'Calc (Market Slow Rate)'!$B$2</f>
        <v>Calc (Market Slow Rate)</v>
      </c>
      <c r="B444" s="113" t="s">
        <v>36</v>
      </c>
      <c r="C444" s="104" t="s">
        <v>11</v>
      </c>
      <c r="D444" s="113"/>
      <c r="E444" s="113"/>
      <c r="F444" s="115"/>
      <c r="G444" s="111">
        <f>IF('Input Global'!$B$60="frontier number",'Input Frontier'!G39,IF('Input Global'!$B$60="CPI",F400*(1+inflation),$F$397*('Input Frontier'!G39/'Input Frontier'!F39)))</f>
        <v>8.1672081378176671</v>
      </c>
      <c r="H444" s="111">
        <f>IF('Input Global'!$B$60="frontier number",'Input Frontier'!H39,IF('Input Global'!$B$60="CPI",$F$397*(1+inflation)^2,G444*('Input Frontier'!H39/'Input Frontier'!G39)))</f>
        <v>8.1341544395721108</v>
      </c>
    </row>
    <row r="445" spans="1:8" s="104" customFormat="1" x14ac:dyDescent="0.3">
      <c r="A445" s="113"/>
      <c r="B445" s="113"/>
      <c r="C445" s="113"/>
      <c r="D445" s="113"/>
      <c r="E445" s="113"/>
      <c r="F445" s="113"/>
      <c r="G445" s="113"/>
      <c r="H445" s="113"/>
    </row>
    <row r="446" spans="1:8" s="104" customFormat="1" x14ac:dyDescent="0.3">
      <c r="A446" s="110" t="s">
        <v>91</v>
      </c>
      <c r="B446" s="113"/>
      <c r="C446" s="113"/>
      <c r="D446" s="113"/>
      <c r="E446" s="113"/>
      <c r="F446" s="52"/>
      <c r="G446" s="117"/>
      <c r="H446" s="117"/>
    </row>
    <row r="447" spans="1:8" s="104" customFormat="1" x14ac:dyDescent="0.3">
      <c r="A447" s="114" t="str">
        <f>Dist1</f>
        <v>Citipower</v>
      </c>
      <c r="B447" s="113"/>
      <c r="C447" s="113"/>
      <c r="D447" s="113"/>
      <c r="E447" s="113"/>
      <c r="F447" s="115"/>
      <c r="G447" s="113"/>
      <c r="H447" s="113"/>
    </row>
    <row r="448" spans="1:8" s="104" customFormat="1" x14ac:dyDescent="0.3">
      <c r="A448" s="104" t="str">
        <f ca="1">'Calc (Jurisdiction)'!$B$2</f>
        <v>Calc (Jurisdiction)</v>
      </c>
      <c r="B448" s="153" t="s">
        <v>36</v>
      </c>
      <c r="C448" s="104" t="s">
        <v>11</v>
      </c>
      <c r="D448" s="113"/>
      <c r="E448" s="113"/>
      <c r="F448" s="115"/>
      <c r="G448" s="152">
        <f>G451</f>
        <v>2.5063856367024897</v>
      </c>
      <c r="H448" s="152">
        <f>H451</f>
        <v>2.4506375937736258</v>
      </c>
    </row>
    <row r="449" spans="1:8" s="104" customFormat="1" x14ac:dyDescent="0.3">
      <c r="A449" s="104" t="str">
        <f ca="1">'Calc (LRMC Planning case)'!$B$2</f>
        <v>Calc (LRMC Planning case)</v>
      </c>
      <c r="B449" s="113" t="s">
        <v>36</v>
      </c>
      <c r="C449" s="104" t="s">
        <v>11</v>
      </c>
      <c r="D449" s="113"/>
      <c r="E449" s="113"/>
      <c r="F449" s="115"/>
      <c r="G449" s="111">
        <f>IF('Input Global'!$B$60="frontier number",'Input Frontier'!G44,IF('Input Global'!$B$60="CPI",$F$356*(1+inflation),$F$356*('Input Frontier'!G44/'Input Frontier'!F44)))</f>
        <v>2.3498282069763228</v>
      </c>
      <c r="H449" s="111">
        <f>IF('Input Global'!$B$60="frontier number",'Input Frontier'!H44,IF('Input Global'!$B$60="CPI",$F$356*(1+inflation)^2,G449*('Input Frontier'!H44/'Input Frontier'!G44)))</f>
        <v>2.4680829139454188</v>
      </c>
    </row>
    <row r="450" spans="1:8" s="104" customFormat="1" x14ac:dyDescent="0.3">
      <c r="A450" s="104" t="str">
        <f ca="1">'Calc (LRMC Slow Rate)'!$B$2</f>
        <v>Calc (LRMC Slow Rate)</v>
      </c>
      <c r="B450" s="113" t="s">
        <v>36</v>
      </c>
      <c r="C450" s="104" t="s">
        <v>11</v>
      </c>
      <c r="D450" s="113"/>
      <c r="E450" s="113"/>
      <c r="F450" s="115"/>
      <c r="G450" s="111">
        <f>IF('Input Global'!$B$60="frontier number",'Input Frontier'!G45,IF('Input Global'!$B$60="CPI",$F$356*(1+inflation),$F$356*('Input Frontier'!G45/'Input Frontier'!F45)))</f>
        <v>2.3554766355341958</v>
      </c>
      <c r="H450" s="111">
        <f>IF('Input Global'!$B$60="frontier number",'Input Frontier'!H45,IF('Input Global'!$B$60="CPI",$F$356*(1+inflation)^2,G450*('Input Frontier'!H45/'Input Frontier'!G45)))</f>
        <v>2.4723612935227774</v>
      </c>
    </row>
    <row r="451" spans="1:8" s="104" customFormat="1" x14ac:dyDescent="0.3">
      <c r="A451" s="104" t="str">
        <f ca="1">'Calc (Market Planning Case)'!$B$2</f>
        <v>Calc (Market Planning Case)</v>
      </c>
      <c r="B451" s="113" t="s">
        <v>36</v>
      </c>
      <c r="C451" s="104" t="s">
        <v>11</v>
      </c>
      <c r="D451" s="113"/>
      <c r="E451" s="113"/>
      <c r="F451" s="115"/>
      <c r="G451" s="111">
        <f>IF('Input Global'!$B$60="frontier number",'Input Frontier'!G46,IF('Input Global'!$B$60="CPI",$F$356*(1+inflation),$F$356*('Input Frontier'!G46/'Input Frontier'!F46)))</f>
        <v>2.5063856367024897</v>
      </c>
      <c r="H451" s="111">
        <f>IF('Input Global'!$B$60="frontier number",'Input Frontier'!H46,IF('Input Global'!$B$60="CPI",$F$356*(1+inflation)^2,G451*('Input Frontier'!H46/'Input Frontier'!G46)))</f>
        <v>2.4506375937736258</v>
      </c>
    </row>
    <row r="452" spans="1:8" s="104" customFormat="1" x14ac:dyDescent="0.3">
      <c r="A452" s="104" t="str">
        <f ca="1">'Calc (Market Slow Rate)'!$B$2</f>
        <v>Calc (Market Slow Rate)</v>
      </c>
      <c r="B452" s="113" t="s">
        <v>36</v>
      </c>
      <c r="C452" s="104" t="s">
        <v>11</v>
      </c>
      <c r="D452" s="113"/>
      <c r="E452" s="113"/>
      <c r="F452" s="115"/>
      <c r="G452" s="111">
        <f>IF('Input Global'!$B$60="frontier number",'Input Frontier'!G47,IF('Input Global'!$B$60="CPI",$F$356*(1+inflation),$F$356*('Input Frontier'!G47/'Input Frontier'!F47)))</f>
        <v>2.6543740057764724</v>
      </c>
      <c r="H452" s="111">
        <f>IF('Input Global'!$B$60="frontier number",'Input Frontier'!H47,IF('Input Global'!$B$60="CPI",$F$356*(1+inflation)^2,G452*('Input Frontier'!H47/'Input Frontier'!G47)))</f>
        <v>2.4894418064030548</v>
      </c>
    </row>
    <row r="453" spans="1:8" s="104" customFormat="1" x14ac:dyDescent="0.3">
      <c r="A453" s="113"/>
      <c r="F453" s="115"/>
      <c r="G453" s="117"/>
      <c r="H453" s="117"/>
    </row>
    <row r="454" spans="1:8" s="104" customFormat="1" x14ac:dyDescent="0.3">
      <c r="A454" s="54" t="str">
        <f>Dist2</f>
        <v>Powercor</v>
      </c>
      <c r="F454" s="52"/>
    </row>
    <row r="455" spans="1:8" s="104" customFormat="1" x14ac:dyDescent="0.3">
      <c r="A455" s="104" t="str">
        <f ca="1">'Calc (Jurisdiction)'!$B$2</f>
        <v>Calc (Jurisdiction)</v>
      </c>
      <c r="B455" s="153" t="s">
        <v>36</v>
      </c>
      <c r="C455" s="104" t="s">
        <v>11</v>
      </c>
      <c r="F455" s="52"/>
      <c r="G455" s="152">
        <f>G458</f>
        <v>2.522441159419115</v>
      </c>
      <c r="H455" s="152">
        <f>H458</f>
        <v>2.4798567947853289</v>
      </c>
    </row>
    <row r="456" spans="1:8" s="104" customFormat="1" x14ac:dyDescent="0.3">
      <c r="A456" s="104" t="str">
        <f ca="1">'Calc (LRMC Planning case)'!$B$2</f>
        <v>Calc (LRMC Planning case)</v>
      </c>
      <c r="B456" s="113" t="s">
        <v>36</v>
      </c>
      <c r="C456" s="104" t="s">
        <v>11</v>
      </c>
      <c r="D456" s="113"/>
      <c r="E456" s="113"/>
      <c r="F456" s="52"/>
      <c r="G456" s="111">
        <f>IF('Input Global'!$B$60="frontier number",'Input Frontier'!G50,IF('Input Global'!$B$60="CPI",$F$367*(1+inflation),$F$367*('Input Frontier'!G50/'Input Frontier'!F50)))</f>
        <v>2.3502049643771574</v>
      </c>
      <c r="H456" s="111">
        <f>IF('Input Global'!$B$60="frontier number",'Input Frontier'!H50,IF('Input Global'!$B$60="CPI",$F$367*(1+inflation)^2,G456*('Input Frontier'!H50/'Input Frontier'!G50)))</f>
        <v>2.5940942161921114</v>
      </c>
    </row>
    <row r="457" spans="1:8" s="104" customFormat="1" x14ac:dyDescent="0.3">
      <c r="A457" s="104" t="str">
        <f ca="1">'Calc (LRMC Slow Rate)'!$B$2</f>
        <v>Calc (LRMC Slow Rate)</v>
      </c>
      <c r="B457" s="113" t="s">
        <v>36</v>
      </c>
      <c r="C457" s="104" t="s">
        <v>11</v>
      </c>
      <c r="D457" s="113"/>
      <c r="E457" s="113"/>
      <c r="F457" s="52"/>
      <c r="G457" s="111">
        <f>IF('Input Global'!$B$60="frontier number",'Input Frontier'!G51,IF('Input Global'!$B$60="CPI",$F$367*(1+inflation),$F$367*('Input Frontier'!G51/'Input Frontier'!F51)))</f>
        <v>2.3547397887430725</v>
      </c>
      <c r="H457" s="111">
        <f>IF('Input Global'!$B$60="frontier number",'Input Frontier'!H51,IF('Input Global'!$B$60="CPI",$F$367*(1+inflation)^2,G457*('Input Frontier'!H51/'Input Frontier'!G51)))</f>
        <v>2.4726284520803699</v>
      </c>
    </row>
    <row r="458" spans="1:8" s="104" customFormat="1" x14ac:dyDescent="0.3">
      <c r="A458" s="104" t="str">
        <f ca="1">'Calc (Market Planning Case)'!$B$2</f>
        <v>Calc (Market Planning Case)</v>
      </c>
      <c r="B458" s="113" t="s">
        <v>36</v>
      </c>
      <c r="C458" s="104" t="s">
        <v>11</v>
      </c>
      <c r="D458" s="113"/>
      <c r="E458" s="113"/>
      <c r="F458" s="52"/>
      <c r="G458" s="111">
        <f>IF('Input Global'!$B$60="frontier number",'Input Frontier'!G52,IF('Input Global'!$B$60="CPI",$F$367*(1+inflation),$F$367*('Input Frontier'!G52/'Input Frontier'!F52)))</f>
        <v>2.522441159419115</v>
      </c>
      <c r="H458" s="111">
        <f>IF('Input Global'!$B$60="frontier number",'Input Frontier'!H52,IF('Input Global'!$B$60="CPI",$F$367*(1+inflation)^2,G458*('Input Frontier'!H52/'Input Frontier'!G52)))</f>
        <v>2.4798567947853289</v>
      </c>
    </row>
    <row r="459" spans="1:8" s="104" customFormat="1" x14ac:dyDescent="0.3">
      <c r="A459" s="104" t="str">
        <f ca="1">'Calc (Market Slow Rate)'!$B$2</f>
        <v>Calc (Market Slow Rate)</v>
      </c>
      <c r="B459" s="113" t="s">
        <v>36</v>
      </c>
      <c r="C459" s="104" t="s">
        <v>11</v>
      </c>
      <c r="D459" s="113"/>
      <c r="E459" s="113"/>
      <c r="F459" s="52"/>
      <c r="G459" s="111">
        <f>IF('Input Global'!$B$60="frontier number",'Input Frontier'!G53,IF('Input Global'!$B$60="CPI",$F$367*(1+inflation),$F$367*('Input Frontier'!G53/'Input Frontier'!F53)))</f>
        <v>2.648055532786556</v>
      </c>
      <c r="H459" s="111">
        <f>IF('Input Global'!$B$60="frontier number",'Input Frontier'!H53,IF('Input Global'!$B$60="CPI",$F$367*(1+inflation)^2,G459*('Input Frontier'!H53/'Input Frontier'!G53)))</f>
        <v>2.5093387835543446</v>
      </c>
    </row>
    <row r="460" spans="1:8" s="104" customFormat="1" x14ac:dyDescent="0.3">
      <c r="A460" s="118"/>
      <c r="B460" s="113"/>
      <c r="C460" s="113"/>
      <c r="D460" s="113"/>
      <c r="F460" s="52"/>
    </row>
    <row r="461" spans="1:8" s="104" customFormat="1" x14ac:dyDescent="0.3">
      <c r="A461" s="114" t="str">
        <f>Dist3</f>
        <v>SP Ausnet</v>
      </c>
      <c r="B461" s="113"/>
      <c r="C461" s="113"/>
      <c r="D461" s="113"/>
      <c r="E461" s="113"/>
      <c r="F461" s="52"/>
      <c r="G461" s="113"/>
      <c r="H461" s="113"/>
    </row>
    <row r="462" spans="1:8" s="104" customFormat="1" x14ac:dyDescent="0.3">
      <c r="A462" s="104" t="str">
        <f ca="1">'Calc (Jurisdiction)'!$B$2</f>
        <v>Calc (Jurisdiction)</v>
      </c>
      <c r="B462" s="153" t="s">
        <v>36</v>
      </c>
      <c r="C462" s="104" t="s">
        <v>11</v>
      </c>
      <c r="D462" s="113"/>
      <c r="E462" s="113"/>
      <c r="F462" s="52"/>
      <c r="G462" s="152">
        <f>G465</f>
        <v>2.4899558233391459</v>
      </c>
      <c r="H462" s="152">
        <f>H465</f>
        <v>2.4552372942782954</v>
      </c>
    </row>
    <row r="463" spans="1:8" s="104" customFormat="1" x14ac:dyDescent="0.3">
      <c r="A463" s="104" t="str">
        <f ca="1">'Calc (LRMC Planning case)'!$B$2</f>
        <v>Calc (LRMC Planning case)</v>
      </c>
      <c r="B463" s="113" t="s">
        <v>36</v>
      </c>
      <c r="C463" s="104" t="s">
        <v>11</v>
      </c>
      <c r="D463" s="113"/>
      <c r="E463" s="113"/>
      <c r="F463" s="52"/>
      <c r="G463" s="111">
        <f>IF('Input Global'!$B$60="frontier number",'Input Frontier'!G56,IF('Input Global'!$B$60="CPI",$F$378*(1+inflation),$F$378*('Input Frontier'!G56/'Input Frontier'!F56)))</f>
        <v>2.3501327077706327</v>
      </c>
      <c r="H463" s="111">
        <f>IF('Input Global'!$B$60="frontier number",'Input Frontier'!H56,IF('Input Global'!$B$60="CPI",$F$378*(1+inflation)^2,G463*('Input Frontier'!H56/'Input Frontier'!G56)))</f>
        <v>2.4688114502256324</v>
      </c>
    </row>
    <row r="464" spans="1:8" s="104" customFormat="1" x14ac:dyDescent="0.3">
      <c r="A464" s="104" t="str">
        <f ca="1">'Calc (LRMC Slow Rate)'!$B$2</f>
        <v>Calc (LRMC Slow Rate)</v>
      </c>
      <c r="B464" s="113" t="s">
        <v>36</v>
      </c>
      <c r="C464" s="104" t="s">
        <v>11</v>
      </c>
      <c r="D464" s="113"/>
      <c r="E464" s="113"/>
      <c r="F464" s="52"/>
      <c r="G464" s="111">
        <f>IF('Input Global'!$B$60="frontier number",'Input Frontier'!G57,IF('Input Global'!$B$60="CPI",$F$378*(1+inflation),$F$378*('Input Frontier'!G57/'Input Frontier'!F57)))</f>
        <v>2.413632745533401</v>
      </c>
      <c r="H464" s="111">
        <f>IF('Input Global'!$B$60="frontier number",'Input Frontier'!H57,IF('Input Global'!$B$60="CPI",$F$378*(1+inflation)^2,G464*('Input Frontier'!H57/'Input Frontier'!G57)))</f>
        <v>2.4725804137617162</v>
      </c>
    </row>
    <row r="465" spans="1:8" s="104" customFormat="1" x14ac:dyDescent="0.3">
      <c r="A465" s="104" t="str">
        <f ca="1">'Calc (Market Planning Case)'!$B$2</f>
        <v>Calc (Market Planning Case)</v>
      </c>
      <c r="B465" s="113" t="s">
        <v>36</v>
      </c>
      <c r="C465" s="104" t="s">
        <v>11</v>
      </c>
      <c r="D465" s="113"/>
      <c r="E465" s="113"/>
      <c r="F465" s="52"/>
      <c r="G465" s="111">
        <f>IF('Input Global'!$B$60="frontier number",'Input Frontier'!G58,IF('Input Global'!$B$60="CPI",$F$378*(1+inflation),$F$378*('Input Frontier'!G58/'Input Frontier'!F58)))</f>
        <v>2.4899558233391459</v>
      </c>
      <c r="H465" s="111">
        <f>IF('Input Global'!$B$60="frontier number",'Input Frontier'!H58,IF('Input Global'!$B$60="CPI",$F$378*(1+inflation)^2,G465*('Input Frontier'!H58/'Input Frontier'!G58)))</f>
        <v>2.4552372942782954</v>
      </c>
    </row>
    <row r="466" spans="1:8" s="104" customFormat="1" x14ac:dyDescent="0.3">
      <c r="A466" s="104" t="str">
        <f ca="1">'Calc (Market Slow Rate)'!$B$2</f>
        <v>Calc (Market Slow Rate)</v>
      </c>
      <c r="B466" s="113" t="s">
        <v>36</v>
      </c>
      <c r="C466" s="104" t="s">
        <v>11</v>
      </c>
      <c r="D466" s="113"/>
      <c r="E466" s="113"/>
      <c r="F466" s="52"/>
      <c r="G466" s="111">
        <f>IF('Input Global'!$B$60="frontier number",'Input Frontier'!G59,IF('Input Global'!$B$60="CPI",$F$378*(1+inflation),$F$378*('Input Frontier'!G59/'Input Frontier'!F59)))</f>
        <v>2.6455646288497272</v>
      </c>
      <c r="H466" s="111">
        <f>IF('Input Global'!$B$60="frontier number",'Input Frontier'!H59,IF('Input Global'!$B$60="CPI",$F$378*(1+inflation)^2,G466*('Input Frontier'!H59/'Input Frontier'!G59)))</f>
        <v>2.4993877626106</v>
      </c>
    </row>
    <row r="467" spans="1:8" s="104" customFormat="1" x14ac:dyDescent="0.3">
      <c r="F467" s="52"/>
    </row>
    <row r="468" spans="1:8" s="104" customFormat="1" x14ac:dyDescent="0.3">
      <c r="A468" s="114" t="str">
        <f>Dist4</f>
        <v>United</v>
      </c>
      <c r="B468" s="113"/>
      <c r="C468" s="113"/>
      <c r="D468" s="113"/>
      <c r="E468" s="113"/>
      <c r="F468" s="115"/>
      <c r="G468" s="113"/>
      <c r="H468" s="113"/>
    </row>
    <row r="469" spans="1:8" s="104" customFormat="1" x14ac:dyDescent="0.3">
      <c r="A469" s="104" t="str">
        <f ca="1">'Calc (Jurisdiction)'!$B$2</f>
        <v>Calc (Jurisdiction)</v>
      </c>
      <c r="B469" s="153" t="s">
        <v>36</v>
      </c>
      <c r="C469" s="104" t="s">
        <v>11</v>
      </c>
      <c r="D469" s="113"/>
      <c r="E469" s="113"/>
      <c r="F469" s="115"/>
      <c r="G469" s="152">
        <f>G472</f>
        <v>2.5097915416869019</v>
      </c>
      <c r="H469" s="152">
        <f>H472</f>
        <v>2.4531280630206824</v>
      </c>
    </row>
    <row r="470" spans="1:8" s="104" customFormat="1" x14ac:dyDescent="0.3">
      <c r="A470" s="104" t="str">
        <f ca="1">'Calc (LRMC Planning case)'!$B$2</f>
        <v>Calc (LRMC Planning case)</v>
      </c>
      <c r="B470" s="113" t="s">
        <v>36</v>
      </c>
      <c r="C470" s="104" t="s">
        <v>11</v>
      </c>
      <c r="D470" s="113"/>
      <c r="E470" s="113"/>
      <c r="F470" s="115"/>
      <c r="G470" s="111">
        <f>IF('Input Global'!$B$60="frontier number",'Input Frontier'!G62,IF('Input Global'!$B$60="CPI",$F$389*(1+inflation),$F$389*('Input Frontier'!G62/'Input Frontier'!F62)))</f>
        <v>2.3497643165747153</v>
      </c>
      <c r="H470" s="111">
        <f>IF('Input Global'!$B$60="frontier number",'Input Frontier'!H62,IF('Input Global'!$B$60="CPI",$F$389*(1+inflation)^2,G470*('Input Frontier'!H62/'Input Frontier'!G62)))</f>
        <v>2.4678670468694643</v>
      </c>
    </row>
    <row r="471" spans="1:8" s="104" customFormat="1" x14ac:dyDescent="0.3">
      <c r="A471" s="104" t="str">
        <f ca="1">'Calc (LRMC Slow Rate)'!$B$2</f>
        <v>Calc (LRMC Slow Rate)</v>
      </c>
      <c r="B471" s="113" t="s">
        <v>36</v>
      </c>
      <c r="C471" s="104" t="s">
        <v>11</v>
      </c>
      <c r="D471" s="113"/>
      <c r="E471" s="113"/>
      <c r="F471" s="115"/>
      <c r="G471" s="111">
        <f>IF('Input Global'!$B$60="frontier number",'Input Frontier'!G63,IF('Input Global'!$B$60="CPI",$F$389*(1+inflation),$F$389*('Input Frontier'!G63/'Input Frontier'!F63)))</f>
        <v>2.3554214357085517</v>
      </c>
      <c r="H471" s="111">
        <f>IF('Input Global'!$B$60="frontier number",'Input Frontier'!H63,IF('Input Global'!$B$60="CPI",$F$389*(1+inflation)^2,G471*('Input Frontier'!H63/'Input Frontier'!G63)))</f>
        <v>2.4723602825560671</v>
      </c>
    </row>
    <row r="472" spans="1:8" s="104" customFormat="1" x14ac:dyDescent="0.3">
      <c r="A472" s="104" t="str">
        <f ca="1">'Calc (Market Planning Case)'!$B$2</f>
        <v>Calc (Market Planning Case)</v>
      </c>
      <c r="B472" s="113" t="s">
        <v>36</v>
      </c>
      <c r="C472" s="104" t="s">
        <v>11</v>
      </c>
      <c r="D472" s="113"/>
      <c r="E472" s="113"/>
      <c r="F472" s="115"/>
      <c r="G472" s="111">
        <f>IF('Input Global'!$B$60="frontier number",'Input Frontier'!G64,IF('Input Global'!$B$60="CPI",$F$389*(1+inflation),$F$389*('Input Frontier'!G64/'Input Frontier'!F64)))</f>
        <v>2.5097915416869019</v>
      </c>
      <c r="H472" s="111">
        <f>IF('Input Global'!$B$60="frontier number",'Input Frontier'!H64,IF('Input Global'!$B$60="CPI",$F$389*(1+inflation)^2,G472*('Input Frontier'!H64/'Input Frontier'!G64)))</f>
        <v>2.4531280630206824</v>
      </c>
    </row>
    <row r="473" spans="1:8" s="104" customFormat="1" x14ac:dyDescent="0.3">
      <c r="A473" s="104" t="str">
        <f ca="1">'Calc (Market Slow Rate)'!$B$2</f>
        <v>Calc (Market Slow Rate)</v>
      </c>
      <c r="B473" s="113" t="s">
        <v>36</v>
      </c>
      <c r="C473" s="104" t="s">
        <v>11</v>
      </c>
      <c r="D473" s="113"/>
      <c r="E473" s="113"/>
      <c r="F473" s="115"/>
      <c r="G473" s="111">
        <f>IF('Input Global'!$B$60="frontier number",'Input Frontier'!G65,IF('Input Global'!$B$60="CPI",$F$389*(1+inflation),$F$389*('Input Frontier'!G65/'Input Frontier'!F65)))</f>
        <v>2.6546159050018265</v>
      </c>
      <c r="H473" s="111">
        <f>IF('Input Global'!$B$60="frontier number",'Input Frontier'!H65,IF('Input Global'!$B$60="CPI",$F$389*(1+inflation)^2,G473*('Input Frontier'!H65/'Input Frontier'!G65)))</f>
        <v>2.4956045363007444</v>
      </c>
    </row>
    <row r="474" spans="1:8" s="104" customFormat="1" x14ac:dyDescent="0.3">
      <c r="F474" s="115"/>
    </row>
    <row r="475" spans="1:8" s="104" customFormat="1" x14ac:dyDescent="0.3">
      <c r="A475" s="114" t="str">
        <f>Dist5</f>
        <v>Jemena</v>
      </c>
      <c r="B475" s="113"/>
      <c r="C475" s="113"/>
      <c r="D475" s="113"/>
      <c r="E475" s="113"/>
      <c r="F475" s="115"/>
      <c r="G475" s="113"/>
      <c r="H475" s="113"/>
    </row>
    <row r="476" spans="1:8" s="104" customFormat="1" x14ac:dyDescent="0.3">
      <c r="A476" s="104" t="str">
        <f ca="1">'Calc (Jurisdiction)'!$B$2</f>
        <v>Calc (Jurisdiction)</v>
      </c>
      <c r="B476" s="153" t="s">
        <v>36</v>
      </c>
      <c r="C476" s="104" t="s">
        <v>11</v>
      </c>
      <c r="D476" s="113"/>
      <c r="E476" s="113"/>
      <c r="F476" s="115"/>
      <c r="G476" s="152">
        <f>G479</f>
        <v>2.7425616954920162</v>
      </c>
      <c r="H476" s="152">
        <f>H479</f>
        <v>2.9078090526541835</v>
      </c>
    </row>
    <row r="477" spans="1:8" s="104" customFormat="1" x14ac:dyDescent="0.3">
      <c r="A477" s="104" t="str">
        <f ca="1">'Calc (LRMC Planning case)'!$B$2</f>
        <v>Calc (LRMC Planning case)</v>
      </c>
      <c r="B477" s="113" t="s">
        <v>36</v>
      </c>
      <c r="C477" s="104" t="s">
        <v>11</v>
      </c>
      <c r="D477" s="113"/>
      <c r="E477" s="113"/>
      <c r="F477" s="115"/>
      <c r="G477" s="111">
        <f>IF('Input Global'!$B$60="frontier number",'Input Frontier'!G68,IF('Input Global'!$B$60="CPI",$F$400*(1+inflation),$F$400*('Input Frontier'!G68/'Input Frontier'!F68)))</f>
        <v>2.3496983847138235</v>
      </c>
      <c r="H477" s="111">
        <f>IF('Input Global'!$B$60="frontier number",'Input Frontier'!H68,IF('Input Global'!$B$60="CPI",$F$400*(1+inflation)^2,G477*('Input Frontier'!H68/'Input Frontier'!G68)))</f>
        <v>2.4675592256389769</v>
      </c>
    </row>
    <row r="478" spans="1:8" s="104" customFormat="1" x14ac:dyDescent="0.3">
      <c r="A478" s="104" t="str">
        <f ca="1">'Calc (LRMC Slow Rate)'!$B$2</f>
        <v>Calc (LRMC Slow Rate)</v>
      </c>
      <c r="B478" s="113" t="s">
        <v>36</v>
      </c>
      <c r="C478" s="104" t="s">
        <v>11</v>
      </c>
      <c r="D478" s="113"/>
      <c r="E478" s="113"/>
      <c r="F478" s="115"/>
      <c r="G478" s="111">
        <f>IF('Input Global'!$B$60="frontier number",'Input Frontier'!G69,IF('Input Global'!$B$60="CPI",$F$400*(1+inflation),$F$400*('Input Frontier'!G69/'Input Frontier'!F69)))</f>
        <v>2.3553955788606236</v>
      </c>
      <c r="H478" s="111">
        <f>IF('Input Global'!$B$60="frontier number",'Input Frontier'!H69,IF('Input Global'!$B$60="CPI",$F$400*(1+inflation)^2,G478*('Input Frontier'!H69/'Input Frontier'!G69)))</f>
        <v>2.4723212421797451</v>
      </c>
    </row>
    <row r="479" spans="1:8" s="104" customFormat="1" x14ac:dyDescent="0.3">
      <c r="A479" s="104" t="str">
        <f ca="1">'Calc (Market Planning Case)'!$B$2</f>
        <v>Calc (Market Planning Case)</v>
      </c>
      <c r="B479" s="113" t="s">
        <v>36</v>
      </c>
      <c r="C479" s="104" t="s">
        <v>11</v>
      </c>
      <c r="D479" s="113"/>
      <c r="E479" s="113"/>
      <c r="F479" s="115"/>
      <c r="G479" s="111">
        <f>IF('Input Global'!$B$60="frontier number",'Input Frontier'!G70,IF('Input Global'!$B$60="CPI",$F$400*(1+inflation),$F$400*('Input Frontier'!G70/'Input Frontier'!F70)))</f>
        <v>2.7425616954920162</v>
      </c>
      <c r="H479" s="111">
        <f>IF('Input Global'!$B$60="frontier number",'Input Frontier'!H70,IF('Input Global'!$B$60="CPI",$F$400*(1+inflation)^2,G479*('Input Frontier'!H70/'Input Frontier'!G70)))</f>
        <v>2.9078090526541835</v>
      </c>
    </row>
    <row r="480" spans="1:8" s="104" customFormat="1" x14ac:dyDescent="0.3">
      <c r="A480" s="104" t="str">
        <f ca="1">'Calc (Market Slow Rate)'!$B$2</f>
        <v>Calc (Market Slow Rate)</v>
      </c>
      <c r="B480" s="113" t="s">
        <v>36</v>
      </c>
      <c r="C480" s="104" t="s">
        <v>11</v>
      </c>
      <c r="D480" s="113"/>
      <c r="E480" s="113"/>
      <c r="F480" s="115"/>
      <c r="G480" s="111">
        <f>IF('Input Global'!$B$60="frontier number",'Input Frontier'!G71,IF('Input Global'!$B$60="CPI",$F$400*(1+inflation),$F$400*('Input Frontier'!G71/'Input Frontier'!F71)))</f>
        <v>2.6565469063281641</v>
      </c>
      <c r="H480" s="111">
        <f>IF('Input Global'!$B$60="frontier number",'Input Frontier'!H71,IF('Input Global'!$B$60="CPI",$F$400*(1+inflation)^2,G480*('Input Frontier'!H71/'Input Frontier'!G71)))</f>
        <v>2.4959495019666473</v>
      </c>
    </row>
    <row r="481" spans="1:11" s="104" customFormat="1" x14ac:dyDescent="0.3">
      <c r="B481" s="113"/>
      <c r="C481" s="113"/>
      <c r="D481" s="113"/>
      <c r="E481" s="113"/>
      <c r="F481" s="55"/>
      <c r="G481" s="55"/>
      <c r="H481" s="55"/>
      <c r="I481" s="55"/>
      <c r="J481" s="55"/>
      <c r="K481" s="55"/>
    </row>
    <row r="482" spans="1:11" s="104" customFormat="1" x14ac:dyDescent="0.3">
      <c r="A482" s="46" t="s">
        <v>15</v>
      </c>
      <c r="B482" s="113"/>
      <c r="C482" s="113"/>
      <c r="D482" s="113"/>
      <c r="E482" s="113"/>
      <c r="F482" s="55"/>
      <c r="G482" s="55"/>
      <c r="H482" s="55"/>
    </row>
    <row r="483" spans="1:11" s="104" customFormat="1" x14ac:dyDescent="0.3">
      <c r="A483" s="114" t="str">
        <f>Dist1</f>
        <v>Citipower</v>
      </c>
      <c r="B483" s="113"/>
      <c r="C483" s="113"/>
      <c r="D483" s="113"/>
      <c r="E483" s="113"/>
      <c r="F483" s="117"/>
      <c r="G483" s="117"/>
      <c r="H483" s="117"/>
    </row>
    <row r="484" spans="1:11" s="104" customFormat="1" x14ac:dyDescent="0.3">
      <c r="A484" s="104" t="str">
        <f ca="1">'Calc (Jurisdiction)'!$B$2</f>
        <v>Calc (Jurisdiction)</v>
      </c>
      <c r="B484" s="153" t="s">
        <v>36</v>
      </c>
      <c r="C484" s="104" t="s">
        <v>11</v>
      </c>
      <c r="D484" s="113"/>
      <c r="E484" s="113"/>
      <c r="F484" s="117"/>
      <c r="G484" s="152">
        <f>G487</f>
        <v>0.71024842650382625</v>
      </c>
      <c r="H484" s="152">
        <f>H487</f>
        <v>0.75212223266646072</v>
      </c>
    </row>
    <row r="485" spans="1:11" s="104" customFormat="1" x14ac:dyDescent="0.3">
      <c r="A485" s="104" t="str">
        <f ca="1">'Calc (LRMC Planning case)'!$B$2</f>
        <v>Calc (LRMC Planning case)</v>
      </c>
      <c r="B485" s="113" t="s">
        <v>36</v>
      </c>
      <c r="C485" s="104" t="s">
        <v>11</v>
      </c>
      <c r="D485" s="113"/>
      <c r="E485" s="113"/>
      <c r="F485" s="117"/>
      <c r="G485" s="111">
        <f>IF('Input Global'!$B$60="frontier number",'Input Frontier'!G75,IF('Input Global'!$B$60="CPI",$F$357*(1+inflation),$F$357*('Input Frontier'!G75/'Input Frontier'!F75)))</f>
        <v>0.71024842650382625</v>
      </c>
      <c r="H485" s="111">
        <f>IF('Input Global'!$B$60="frontier number",'Input Frontier'!H75,IF('Input Global'!$B$60="CPI",$F$357*(1+inflation)^2,G485*('Input Frontier'!H75/'Input Frontier'!G75)))</f>
        <v>0.75212223266646072</v>
      </c>
    </row>
    <row r="486" spans="1:11" s="104" customFormat="1" x14ac:dyDescent="0.3">
      <c r="A486" s="104" t="str">
        <f ca="1">'Calc (LRMC Slow Rate)'!$B$2</f>
        <v>Calc (LRMC Slow Rate)</v>
      </c>
      <c r="B486" s="113" t="s">
        <v>36</v>
      </c>
      <c r="C486" s="104" t="s">
        <v>11</v>
      </c>
      <c r="D486" s="113"/>
      <c r="E486" s="113"/>
      <c r="F486" s="117"/>
      <c r="G486" s="111">
        <f>IF('Input Global'!$B$60="frontier number",'Input Frontier'!G76,IF('Input Global'!$B$60="CPI",$F$357*(1+inflation),$F$357*('Input Frontier'!G76/'Input Frontier'!F76)))</f>
        <v>0.71024845158378358</v>
      </c>
      <c r="H486" s="111">
        <f>IF('Input Global'!$B$60="frontier number",'Input Frontier'!H76,IF('Input Global'!$B$60="CPI",$F$357*(1+inflation)^2,G486*('Input Frontier'!H76/'Input Frontier'!G76)))</f>
        <v>0.75212214575245984</v>
      </c>
    </row>
    <row r="487" spans="1:11" s="104" customFormat="1" x14ac:dyDescent="0.3">
      <c r="A487" s="104" t="str">
        <f ca="1">'Calc (Market Planning Case)'!$B$2</f>
        <v>Calc (Market Planning Case)</v>
      </c>
      <c r="B487" s="113" t="s">
        <v>36</v>
      </c>
      <c r="C487" s="104" t="s">
        <v>11</v>
      </c>
      <c r="D487" s="113"/>
      <c r="E487" s="113"/>
      <c r="F487" s="117"/>
      <c r="G487" s="111">
        <f>IF('Input Global'!$B$60="frontier number",'Input Frontier'!G77,IF('Input Global'!$B$60="CPI",$F$357*(1+inflation),$F$357*('Input Frontier'!G77/'Input Frontier'!F77)))</f>
        <v>0.71024842650382625</v>
      </c>
      <c r="H487" s="111">
        <f>IF('Input Global'!$B$60="frontier number",'Input Frontier'!H77,IF('Input Global'!$B$60="CPI",$F$357*(1+inflation)^2,G487*('Input Frontier'!H77/'Input Frontier'!G77)))</f>
        <v>0.75212223266646072</v>
      </c>
    </row>
    <row r="488" spans="1:11" s="104" customFormat="1" x14ac:dyDescent="0.3">
      <c r="A488" s="104" t="str">
        <f ca="1">'Calc (Market Slow Rate)'!$B$2</f>
        <v>Calc (Market Slow Rate)</v>
      </c>
      <c r="B488" s="113" t="s">
        <v>36</v>
      </c>
      <c r="C488" s="104" t="s">
        <v>11</v>
      </c>
      <c r="D488" s="113"/>
      <c r="E488" s="113"/>
      <c r="F488" s="117"/>
      <c r="G488" s="111">
        <f>IF('Input Global'!$B$60="frontier number",'Input Frontier'!G78,IF('Input Global'!$B$60="CPI",$F$357*(1+inflation),$F$357*('Input Frontier'!G78/'Input Frontier'!F78)))</f>
        <v>0.71024845158378358</v>
      </c>
      <c r="H488" s="111">
        <f>IF('Input Global'!$B$60="frontier number",'Input Frontier'!H78,IF('Input Global'!$B$60="CPI",$F$357*(1+inflation)^2,G488*('Input Frontier'!H78/'Input Frontier'!G78)))</f>
        <v>0.75212214575245984</v>
      </c>
    </row>
    <row r="489" spans="1:11" s="104" customFormat="1" x14ac:dyDescent="0.3">
      <c r="B489" s="113"/>
      <c r="C489" s="113"/>
      <c r="D489" s="113"/>
      <c r="E489" s="113"/>
      <c r="F489" s="113"/>
      <c r="G489" s="113"/>
      <c r="H489" s="113"/>
    </row>
    <row r="490" spans="1:11" s="104" customFormat="1" x14ac:dyDescent="0.3">
      <c r="A490" s="114" t="str">
        <f>Dist2</f>
        <v>Powercor</v>
      </c>
      <c r="B490" s="113"/>
      <c r="C490" s="113"/>
      <c r="D490" s="113"/>
      <c r="E490" s="113"/>
      <c r="F490" s="117"/>
      <c r="G490" s="117"/>
      <c r="H490" s="117"/>
    </row>
    <row r="491" spans="1:11" s="104" customFormat="1" x14ac:dyDescent="0.3">
      <c r="A491" s="104" t="str">
        <f ca="1">'Calc (Jurisdiction)'!$B$2</f>
        <v>Calc (Jurisdiction)</v>
      </c>
      <c r="B491" s="153" t="s">
        <v>36</v>
      </c>
      <c r="C491" s="104" t="s">
        <v>11</v>
      </c>
      <c r="D491" s="113"/>
      <c r="E491" s="113"/>
      <c r="F491" s="117"/>
      <c r="G491" s="152">
        <f>G494</f>
        <v>0.71024842650382625</v>
      </c>
      <c r="H491" s="152">
        <f>H494</f>
        <v>0.75212223266646072</v>
      </c>
    </row>
    <row r="492" spans="1:11" s="104" customFormat="1" x14ac:dyDescent="0.3">
      <c r="A492" s="104" t="str">
        <f ca="1">'Calc (LRMC Planning case)'!$B$2</f>
        <v>Calc (LRMC Planning case)</v>
      </c>
      <c r="B492" s="113" t="s">
        <v>36</v>
      </c>
      <c r="C492" s="104" t="s">
        <v>11</v>
      </c>
      <c r="D492" s="113"/>
      <c r="E492" s="113"/>
      <c r="F492" s="117"/>
      <c r="G492" s="111">
        <f>IF('Input Global'!$B$60="frontier number",'Input Frontier'!G81,IF('Input Global'!$B$60="CPI",$F$368*(1+inflation),$F$368*('Input Frontier'!G81/'Input Frontier'!F81)))</f>
        <v>0.71024842650382625</v>
      </c>
      <c r="H492" s="111">
        <f>IF('Input Global'!$B$60="frontier number",'Input Frontier'!H81,IF('Input Global'!$B$60="CPI",$F$368*(1+inflation)^2,G492*('Input Frontier'!H81/'Input Frontier'!G81)))</f>
        <v>0.75212223266646072</v>
      </c>
    </row>
    <row r="493" spans="1:11" s="104" customFormat="1" x14ac:dyDescent="0.3">
      <c r="A493" s="104" t="str">
        <f ca="1">'Calc (LRMC Slow Rate)'!$B$2</f>
        <v>Calc (LRMC Slow Rate)</v>
      </c>
      <c r="B493" s="113" t="s">
        <v>36</v>
      </c>
      <c r="C493" s="104" t="s">
        <v>11</v>
      </c>
      <c r="D493" s="113"/>
      <c r="E493" s="113"/>
      <c r="F493" s="117"/>
      <c r="G493" s="111">
        <f>IF('Input Global'!$B$60="frontier number",'Input Frontier'!G82,IF('Input Global'!$B$60="CPI",$F$368*(1+inflation),$F$368*('Input Frontier'!G82/'Input Frontier'!F82)))</f>
        <v>0.71024845158378325</v>
      </c>
      <c r="H493" s="111">
        <f>IF('Input Global'!$B$60="frontier number",'Input Frontier'!H82,IF('Input Global'!$B$60="CPI",$F$368*(1+inflation)^2,G493*('Input Frontier'!H82/'Input Frontier'!G82)))</f>
        <v>0.7521221457524595</v>
      </c>
    </row>
    <row r="494" spans="1:11" s="104" customFormat="1" x14ac:dyDescent="0.3">
      <c r="A494" s="104" t="str">
        <f ca="1">'Calc (Market Planning Case)'!$B$2</f>
        <v>Calc (Market Planning Case)</v>
      </c>
      <c r="B494" s="113" t="s">
        <v>36</v>
      </c>
      <c r="C494" s="104" t="s">
        <v>11</v>
      </c>
      <c r="D494" s="113"/>
      <c r="E494" s="113"/>
      <c r="F494" s="117"/>
      <c r="G494" s="111">
        <f>IF('Input Global'!$B$60="frontier number",'Input Frontier'!G83,IF('Input Global'!$B$60="CPI",$F$368*(1+inflation),$F$368*('Input Frontier'!G83/'Input Frontier'!F83)))</f>
        <v>0.71024842650382625</v>
      </c>
      <c r="H494" s="111">
        <f>IF('Input Global'!$B$60="frontier number",'Input Frontier'!H83,IF('Input Global'!$B$60="CPI",$F$368*(1+inflation)^2,G494*('Input Frontier'!H83/'Input Frontier'!G83)))</f>
        <v>0.75212223266646072</v>
      </c>
    </row>
    <row r="495" spans="1:11" s="104" customFormat="1" x14ac:dyDescent="0.3">
      <c r="A495" s="104" t="str">
        <f ca="1">'Calc (Market Slow Rate)'!$B$2</f>
        <v>Calc (Market Slow Rate)</v>
      </c>
      <c r="B495" s="113" t="s">
        <v>36</v>
      </c>
      <c r="C495" s="104" t="s">
        <v>11</v>
      </c>
      <c r="D495" s="113"/>
      <c r="E495" s="113"/>
      <c r="F495" s="117"/>
      <c r="G495" s="111">
        <f>IF('Input Global'!$B$60="frontier number",'Input Frontier'!G84,IF('Input Global'!$B$60="CPI",$F$368*(1+inflation),$F$368*('Input Frontier'!G84/'Input Frontier'!F84)))</f>
        <v>0.71024845158378325</v>
      </c>
      <c r="H495" s="111">
        <f>IF('Input Global'!$B$60="frontier number",'Input Frontier'!H84,IF('Input Global'!$B$60="CPI",$F$368*(1+inflation)^2,G495*('Input Frontier'!H84/'Input Frontier'!G84)))</f>
        <v>0.7521221457524595</v>
      </c>
    </row>
    <row r="496" spans="1:11" s="104" customFormat="1" x14ac:dyDescent="0.3">
      <c r="B496" s="113"/>
      <c r="C496" s="113"/>
      <c r="D496" s="113"/>
      <c r="E496" s="113"/>
      <c r="F496" s="117"/>
      <c r="G496" s="56"/>
      <c r="H496" s="56"/>
    </row>
    <row r="497" spans="1:8" s="104" customFormat="1" x14ac:dyDescent="0.3">
      <c r="A497" s="114" t="str">
        <f>Dist3</f>
        <v>SP Ausnet</v>
      </c>
      <c r="B497" s="113"/>
      <c r="C497" s="113"/>
      <c r="D497" s="113"/>
      <c r="E497" s="113"/>
      <c r="F497" s="117"/>
      <c r="G497" s="117"/>
      <c r="H497" s="117"/>
    </row>
    <row r="498" spans="1:8" s="104" customFormat="1" x14ac:dyDescent="0.3">
      <c r="A498" s="104" t="str">
        <f ca="1">'Calc (Jurisdiction)'!$B$2</f>
        <v>Calc (Jurisdiction)</v>
      </c>
      <c r="B498" s="153" t="s">
        <v>36</v>
      </c>
      <c r="C498" s="104" t="s">
        <v>11</v>
      </c>
      <c r="D498" s="113"/>
      <c r="E498" s="113"/>
      <c r="F498" s="117"/>
      <c r="G498" s="152">
        <f>G501</f>
        <v>0.71024842650382625</v>
      </c>
      <c r="H498" s="152">
        <f>H501</f>
        <v>0.75212223266646072</v>
      </c>
    </row>
    <row r="499" spans="1:8" s="104" customFormat="1" x14ac:dyDescent="0.3">
      <c r="A499" s="104" t="str">
        <f ca="1">'Calc (LRMC Planning case)'!$B$2</f>
        <v>Calc (LRMC Planning case)</v>
      </c>
      <c r="B499" s="113" t="s">
        <v>36</v>
      </c>
      <c r="C499" s="104" t="s">
        <v>11</v>
      </c>
      <c r="D499" s="113"/>
      <c r="E499" s="113"/>
      <c r="F499" s="117"/>
      <c r="G499" s="111">
        <f>IF('Input Global'!$B$60="frontier number",'Input Frontier'!G87,IF('Input Global'!$B$60="CPI",$F$379*(1+inflation),$F$379*('Input Frontier'!G87/'Input Frontier'!F87)))</f>
        <v>0.71024842650382625</v>
      </c>
      <c r="H499" s="111">
        <f>IF('Input Global'!$B$60="frontier number",'Input Frontier'!H87,IF('Input Global'!$B$60="CPI",$F$379*(1+inflation)^2,G499*('Input Frontier'!H87/'Input Frontier'!G87)))</f>
        <v>0.75212223266646072</v>
      </c>
    </row>
    <row r="500" spans="1:8" s="104" customFormat="1" x14ac:dyDescent="0.3">
      <c r="A500" s="104" t="str">
        <f ca="1">'Calc (LRMC Slow Rate)'!$B$2</f>
        <v>Calc (LRMC Slow Rate)</v>
      </c>
      <c r="B500" s="113" t="s">
        <v>36</v>
      </c>
      <c r="C500" s="104" t="s">
        <v>11</v>
      </c>
      <c r="D500" s="113"/>
      <c r="E500" s="113"/>
      <c r="F500" s="117"/>
      <c r="G500" s="111">
        <f>IF('Input Global'!$B$60="frontier number",'Input Frontier'!G88,IF('Input Global'!$B$60="CPI",$F$379*(1+inflation),$F$379*('Input Frontier'!G88/'Input Frontier'!F88)))</f>
        <v>0.72800466287337784</v>
      </c>
      <c r="H500" s="111">
        <f>IF('Input Global'!$B$60="frontier number",'Input Frontier'!H88,IF('Input Global'!$B$60="CPI",$F$379*(1+inflation)^2,G500*('Input Frontier'!H88/'Input Frontier'!G88)))</f>
        <v>0.75212214575245961</v>
      </c>
    </row>
    <row r="501" spans="1:8" s="104" customFormat="1" x14ac:dyDescent="0.3">
      <c r="A501" s="104" t="str">
        <f ca="1">'Calc (Market Planning Case)'!$B$2</f>
        <v>Calc (Market Planning Case)</v>
      </c>
      <c r="B501" s="113" t="s">
        <v>36</v>
      </c>
      <c r="C501" s="104" t="s">
        <v>11</v>
      </c>
      <c r="D501" s="113"/>
      <c r="E501" s="113"/>
      <c r="F501" s="117"/>
      <c r="G501" s="111">
        <f>IF('Input Global'!$B$60="frontier number",'Input Frontier'!G89,IF('Input Global'!$B$60="CPI",$F$379*(1+inflation),$F$379*('Input Frontier'!G89/'Input Frontier'!F89)))</f>
        <v>0.71024842650382625</v>
      </c>
      <c r="H501" s="111">
        <f>IF('Input Global'!$B$60="frontier number",'Input Frontier'!H89,IF('Input Global'!$B$60="CPI",$F$379*(1+inflation)^2,G501*('Input Frontier'!H89/'Input Frontier'!G89)))</f>
        <v>0.75212223266646072</v>
      </c>
    </row>
    <row r="502" spans="1:8" s="104" customFormat="1" x14ac:dyDescent="0.3">
      <c r="A502" s="104" t="str">
        <f ca="1">'Calc (Market Slow Rate)'!$B$2</f>
        <v>Calc (Market Slow Rate)</v>
      </c>
      <c r="B502" s="113" t="s">
        <v>36</v>
      </c>
      <c r="C502" s="104" t="s">
        <v>11</v>
      </c>
      <c r="D502" s="113"/>
      <c r="E502" s="113"/>
      <c r="F502" s="117"/>
      <c r="G502" s="111">
        <f>IF('Input Global'!$B$60="frontier number",'Input Frontier'!G90,IF('Input Global'!$B$60="CPI",$F$379*(1+inflation),$F$379*('Input Frontier'!G90/'Input Frontier'!F90)))</f>
        <v>0.72800466287337784</v>
      </c>
      <c r="H502" s="111">
        <f>IF('Input Global'!$B$60="frontier number",'Input Frontier'!H90,IF('Input Global'!$B$60="CPI",$F$379*(1+inflation)^2,G502*('Input Frontier'!H90/'Input Frontier'!G90)))</f>
        <v>0.75212214575245961</v>
      </c>
    </row>
    <row r="503" spans="1:8" s="104" customFormat="1" x14ac:dyDescent="0.3">
      <c r="B503" s="113"/>
      <c r="C503" s="113"/>
      <c r="D503" s="113"/>
      <c r="E503" s="113"/>
      <c r="F503" s="117"/>
      <c r="G503" s="56"/>
      <c r="H503" s="56"/>
    </row>
    <row r="504" spans="1:8" s="104" customFormat="1" x14ac:dyDescent="0.3">
      <c r="A504" s="114" t="str">
        <f>Dist4</f>
        <v>United</v>
      </c>
      <c r="B504" s="113"/>
      <c r="C504" s="113"/>
      <c r="D504" s="113"/>
      <c r="E504" s="113"/>
      <c r="F504" s="117"/>
      <c r="G504" s="117"/>
      <c r="H504" s="134"/>
    </row>
    <row r="505" spans="1:8" s="104" customFormat="1" x14ac:dyDescent="0.3">
      <c r="A505" s="104" t="str">
        <f ca="1">'Calc (Jurisdiction)'!$B$2</f>
        <v>Calc (Jurisdiction)</v>
      </c>
      <c r="B505" s="153" t="s">
        <v>36</v>
      </c>
      <c r="C505" s="104" t="s">
        <v>11</v>
      </c>
      <c r="D505" s="113"/>
      <c r="E505" s="113"/>
      <c r="F505" s="117"/>
      <c r="G505" s="152">
        <f>G508</f>
        <v>0.71024842650382625</v>
      </c>
      <c r="H505" s="152">
        <f>H508</f>
        <v>0.75212223266646072</v>
      </c>
    </row>
    <row r="506" spans="1:8" s="104" customFormat="1" x14ac:dyDescent="0.3">
      <c r="A506" s="104" t="str">
        <f ca="1">'Calc (LRMC Planning case)'!$B$2</f>
        <v>Calc (LRMC Planning case)</v>
      </c>
      <c r="B506" s="113" t="s">
        <v>36</v>
      </c>
      <c r="C506" s="104" t="s">
        <v>11</v>
      </c>
      <c r="D506" s="113"/>
      <c r="E506" s="113"/>
      <c r="F506" s="117"/>
      <c r="G506" s="111">
        <f>IF('Input Global'!$B$60="frontier number",'Input Frontier'!G93,IF('Input Global'!$B$60="CPI",$F$390*(1+inflation),$F$390*('Input Frontier'!G93/'Input Frontier'!F93)))</f>
        <v>0.71024842650382625</v>
      </c>
      <c r="H506" s="111">
        <f>IF('Input Global'!$B$60="frontier number",'Input Frontier'!H93,IF('Input Global'!$B$60="CPI",$F$390*(1+inflation)^2,G506*('Input Frontier'!H93/'Input Frontier'!G93)))</f>
        <v>0.75212223266646072</v>
      </c>
    </row>
    <row r="507" spans="1:8" s="104" customFormat="1" x14ac:dyDescent="0.3">
      <c r="A507" s="104" t="str">
        <f ca="1">'Calc (LRMC Slow Rate)'!$B$2</f>
        <v>Calc (LRMC Slow Rate)</v>
      </c>
      <c r="B507" s="113" t="s">
        <v>36</v>
      </c>
      <c r="C507" s="104" t="s">
        <v>11</v>
      </c>
      <c r="D507" s="113"/>
      <c r="E507" s="113"/>
      <c r="F507" s="117"/>
      <c r="G507" s="111">
        <f>IF('Input Global'!$B$60="frontier number",'Input Frontier'!G94,IF('Input Global'!$B$60="CPI",$F$390*(1+inflation),$F$390*('Input Frontier'!G94/'Input Frontier'!F94)))</f>
        <v>0.71024845158378325</v>
      </c>
      <c r="H507" s="111">
        <f>IF('Input Global'!$B$60="frontier number",'Input Frontier'!H94,IF('Input Global'!$B$60="CPI",$F$390*(1+inflation)^2,G507*('Input Frontier'!H94/'Input Frontier'!G94)))</f>
        <v>0.7521221457524595</v>
      </c>
    </row>
    <row r="508" spans="1:8" s="104" customFormat="1" x14ac:dyDescent="0.3">
      <c r="A508" s="104" t="str">
        <f ca="1">'Calc (Market Planning Case)'!$B$2</f>
        <v>Calc (Market Planning Case)</v>
      </c>
      <c r="B508" s="113" t="s">
        <v>36</v>
      </c>
      <c r="C508" s="104" t="s">
        <v>11</v>
      </c>
      <c r="D508" s="113"/>
      <c r="E508" s="113"/>
      <c r="F508" s="117"/>
      <c r="G508" s="111">
        <f>IF('Input Global'!$B$60="frontier number",'Input Frontier'!G95,IF('Input Global'!$B$60="CPI",$F$390*(1+inflation),$F$390*('Input Frontier'!G95/'Input Frontier'!F95)))</f>
        <v>0.71024842650382625</v>
      </c>
      <c r="H508" s="111">
        <f>IF('Input Global'!$B$60="frontier number",'Input Frontier'!H95,IF('Input Global'!$B$60="CPI",$F$390*(1+inflation)^2,G508*('Input Frontier'!H95/'Input Frontier'!G95)))</f>
        <v>0.75212223266646072</v>
      </c>
    </row>
    <row r="509" spans="1:8" s="104" customFormat="1" x14ac:dyDescent="0.3">
      <c r="A509" s="104" t="str">
        <f ca="1">'Calc (Market Slow Rate)'!$B$2</f>
        <v>Calc (Market Slow Rate)</v>
      </c>
      <c r="B509" s="113" t="s">
        <v>36</v>
      </c>
      <c r="C509" s="104" t="s">
        <v>11</v>
      </c>
      <c r="D509" s="113"/>
      <c r="E509" s="113"/>
      <c r="F509" s="117"/>
      <c r="G509" s="111">
        <f>IF('Input Global'!$B$60="frontier number",'Input Frontier'!G96,IF('Input Global'!$B$60="CPI",$F$390*(1+inflation),$F$390*('Input Frontier'!G96/'Input Frontier'!F96)))</f>
        <v>0.71024845158378325</v>
      </c>
      <c r="H509" s="111">
        <f>IF('Input Global'!$B$60="frontier number",'Input Frontier'!H96,IF('Input Global'!$B$60="CPI",$F$390*(1+inflation)^2,G509*('Input Frontier'!H96/'Input Frontier'!G96)))</f>
        <v>0.7521221457524595</v>
      </c>
    </row>
    <row r="510" spans="1:8" s="104" customFormat="1" x14ac:dyDescent="0.3">
      <c r="B510" s="113"/>
      <c r="C510" s="113"/>
      <c r="D510" s="113"/>
      <c r="E510" s="113"/>
      <c r="F510" s="117"/>
      <c r="G510" s="56"/>
      <c r="H510" s="56"/>
    </row>
    <row r="511" spans="1:8" s="104" customFormat="1" x14ac:dyDescent="0.3">
      <c r="A511" s="114" t="str">
        <f>Dist5</f>
        <v>Jemena</v>
      </c>
      <c r="B511" s="113"/>
      <c r="C511" s="113"/>
      <c r="D511" s="113"/>
      <c r="E511" s="113"/>
      <c r="F511" s="117"/>
      <c r="G511" s="117"/>
      <c r="H511" s="117"/>
    </row>
    <row r="512" spans="1:8" s="104" customFormat="1" x14ac:dyDescent="0.3">
      <c r="A512" s="104" t="str">
        <f ca="1">'Calc (Jurisdiction)'!$B$2</f>
        <v>Calc (Jurisdiction)</v>
      </c>
      <c r="B512" s="153" t="s">
        <v>36</v>
      </c>
      <c r="C512" s="104" t="s">
        <v>11</v>
      </c>
      <c r="D512" s="113"/>
      <c r="E512" s="113"/>
      <c r="F512" s="117"/>
      <c r="G512" s="152">
        <f>G515</f>
        <v>0.71024842650382625</v>
      </c>
      <c r="H512" s="152">
        <f>H515</f>
        <v>0.75212223266646072</v>
      </c>
    </row>
    <row r="513" spans="1:10" s="104" customFormat="1" x14ac:dyDescent="0.3">
      <c r="A513" s="104" t="str">
        <f ca="1">'Calc (LRMC Planning case)'!$B$2</f>
        <v>Calc (LRMC Planning case)</v>
      </c>
      <c r="B513" s="113" t="s">
        <v>36</v>
      </c>
      <c r="C513" s="104" t="s">
        <v>11</v>
      </c>
      <c r="D513" s="113"/>
      <c r="E513" s="113"/>
      <c r="F513" s="117"/>
      <c r="G513" s="111">
        <f>IF('Input Global'!$B$60="frontier number",'Input Frontier'!G99,IF('Input Global'!$B$60="CPI",$F$401*(1+inflation),$F$401*('Input Frontier'!G99/'Input Frontier'!F99)))</f>
        <v>0.71024842650382625</v>
      </c>
      <c r="H513" s="111">
        <f>IF('Input Global'!$B$60="frontier number",'Input Frontier'!H99,IF('Input Global'!$B$60="CPI",$F$401*(1+inflation)^2,G513*('Input Frontier'!H99/'Input Frontier'!G99)))</f>
        <v>0.75212223266646072</v>
      </c>
    </row>
    <row r="514" spans="1:10" s="104" customFormat="1" x14ac:dyDescent="0.3">
      <c r="A514" s="104" t="str">
        <f ca="1">'Calc (LRMC Slow Rate)'!$B$2</f>
        <v>Calc (LRMC Slow Rate)</v>
      </c>
      <c r="B514" s="113" t="s">
        <v>36</v>
      </c>
      <c r="C514" s="104" t="s">
        <v>11</v>
      </c>
      <c r="D514" s="113"/>
      <c r="E514" s="113"/>
      <c r="F514" s="117"/>
      <c r="G514" s="111">
        <f>IF('Input Global'!$B$60="frontier number",'Input Frontier'!G100,IF('Input Global'!$B$60="CPI",$F$401*(1+inflation),$F$401*('Input Frontier'!G100/'Input Frontier'!F100)))</f>
        <v>0.71024845158378325</v>
      </c>
      <c r="H514" s="111">
        <f>IF('Input Global'!$B$60="frontier number",'Input Frontier'!H100,IF('Input Global'!$B$60="CPI",$F$401*(1+inflation)^2,G514*('Input Frontier'!H100/'Input Frontier'!G100)))</f>
        <v>0.7521221457524595</v>
      </c>
    </row>
    <row r="515" spans="1:10" s="104" customFormat="1" x14ac:dyDescent="0.3">
      <c r="A515" s="104" t="str">
        <f ca="1">'Calc (Market Planning Case)'!$B$2</f>
        <v>Calc (Market Planning Case)</v>
      </c>
      <c r="B515" s="113" t="s">
        <v>36</v>
      </c>
      <c r="C515" s="104" t="s">
        <v>11</v>
      </c>
      <c r="D515" s="113"/>
      <c r="E515" s="113"/>
      <c r="F515" s="117"/>
      <c r="G515" s="111">
        <f>IF('Input Global'!$B$60="frontier number",'Input Frontier'!G101,IF('Input Global'!$B$60="CPI",$F$401*(1+inflation),$F$401*('Input Frontier'!G101/'Input Frontier'!F101)))</f>
        <v>0.71024842650382625</v>
      </c>
      <c r="H515" s="111">
        <f>IF('Input Global'!$B$60="frontier number",'Input Frontier'!H101,IF('Input Global'!$B$60="CPI",$F$401*(1+inflation)^2,G515*('Input Frontier'!H101/'Input Frontier'!G101)))</f>
        <v>0.75212223266646072</v>
      </c>
    </row>
    <row r="516" spans="1:10" s="104" customFormat="1" x14ac:dyDescent="0.3">
      <c r="A516" s="104" t="str">
        <f ca="1">'Calc (Market Slow Rate)'!$B$2</f>
        <v>Calc (Market Slow Rate)</v>
      </c>
      <c r="B516" s="113" t="s">
        <v>36</v>
      </c>
      <c r="C516" s="104" t="s">
        <v>11</v>
      </c>
      <c r="D516" s="113"/>
      <c r="E516" s="113"/>
      <c r="F516" s="117"/>
      <c r="G516" s="111">
        <f>IF('Input Global'!$B$60="frontier number",'Input Frontier'!G102,IF('Input Global'!$B$60="CPI",$F$401*(1+inflation),$F$401*('Input Frontier'!G102/'Input Frontier'!F102)))</f>
        <v>0.71024845158378325</v>
      </c>
      <c r="H516" s="111">
        <f>IF('Input Global'!$B$60="frontier number",'Input Frontier'!H102,IF('Input Global'!$B$60="CPI",$F$401*(1+inflation)^2,G516*('Input Frontier'!H102/'Input Frontier'!G102)))</f>
        <v>0.7521221457524595</v>
      </c>
    </row>
    <row r="517" spans="1:10" s="104" customFormat="1" x14ac:dyDescent="0.3">
      <c r="A517" s="113"/>
      <c r="F517" s="117"/>
      <c r="G517" s="117"/>
      <c r="H517" s="117"/>
    </row>
    <row r="518" spans="1:10" s="104" customFormat="1" x14ac:dyDescent="0.3">
      <c r="A518" s="110" t="s">
        <v>16</v>
      </c>
      <c r="F518" s="117"/>
      <c r="G518" s="117"/>
      <c r="H518" s="117"/>
    </row>
    <row r="519" spans="1:10" s="104" customFormat="1" x14ac:dyDescent="0.3">
      <c r="A519" s="54" t="str">
        <f>Dist1</f>
        <v>Citipower</v>
      </c>
      <c r="B519" s="113" t="s">
        <v>36</v>
      </c>
      <c r="C519" s="104" t="s">
        <v>11</v>
      </c>
      <c r="D519" s="113"/>
      <c r="E519" s="113"/>
      <c r="F519" s="117"/>
      <c r="G519" s="111">
        <f>IF('Input Global'!$B$60="frontier number",'Input Frontier'!G105,IF('Input Global'!$B$60="CPI",$F$358*(1+inflation),$F$358*('Input Frontier'!G105/'Input Frontier'!F105)))</f>
        <v>0.12683626123551275</v>
      </c>
      <c r="H519" s="111">
        <f>IF('Input Global'!$B$60="frontier number",'Input Frontier'!F105,IF('Input Global'!$B$60="CPI",$F$358*(1+inflation)^2,G519*('Input Frontier'!H105/'Input Frontier'!G105)))</f>
        <v>0.11021384523313774</v>
      </c>
    </row>
    <row r="520" spans="1:10" s="104" customFormat="1" x14ac:dyDescent="0.3">
      <c r="A520" s="54" t="str">
        <f>Dist2</f>
        <v>Powercor</v>
      </c>
      <c r="B520" s="113" t="s">
        <v>36</v>
      </c>
      <c r="C520" s="104" t="s">
        <v>11</v>
      </c>
      <c r="D520" s="113"/>
      <c r="E520" s="113"/>
      <c r="F520" s="117"/>
      <c r="G520" s="111">
        <f>IF('Input Global'!$B$60="frontier number",'Input Frontier'!G106,IF('Input Global'!$B$60="CPI",$F$369*(1+inflation),$F$369*('Input Frontier'!G106/'Input Frontier'!F106)))</f>
        <v>0.19365177178870679</v>
      </c>
      <c r="H520" s="111">
        <f>IF('Input Global'!$B$60="frontier number",'Input Frontier'!H106,IF('Input Global'!$B$60="CPI",$F$369*(1+inflation)^2,G520*('Input Frontier'!H106/'Input Frontier'!G106)))</f>
        <v>0.16827290710984494</v>
      </c>
    </row>
    <row r="521" spans="1:10" s="104" customFormat="1" ht="14.25" customHeight="1" x14ac:dyDescent="0.3">
      <c r="A521" s="54" t="str">
        <f>Dist3</f>
        <v>SP Ausnet</v>
      </c>
      <c r="B521" s="113" t="s">
        <v>36</v>
      </c>
      <c r="C521" s="104" t="s">
        <v>11</v>
      </c>
      <c r="D521" s="113"/>
      <c r="E521" s="113"/>
      <c r="F521" s="117"/>
      <c r="G521" s="111">
        <f>IF('Input Global'!$B$60="frontier number",'Input Frontier'!G107,IF('Input Global'!$B$60="CPI",$F$380*(1+inflation),$F$380*('Input Frontier'!G107/'Input Frontier'!F107)))</f>
        <v>0.12683626123551256</v>
      </c>
      <c r="H521" s="111">
        <f>IF('Input Global'!$B$60="frontier number",'Input Frontier'!H107,IF('Input Global'!$B$60="CPI",$F$380*(1+inflation)^2,G521*('Input Frontier'!H107/'Input Frontier'!G107)))</f>
        <v>0.11021384523313771</v>
      </c>
    </row>
    <row r="522" spans="1:10" s="104" customFormat="1" ht="14.25" customHeight="1" x14ac:dyDescent="0.3">
      <c r="A522" s="54" t="str">
        <f>Dist4</f>
        <v>United</v>
      </c>
      <c r="B522" s="113" t="s">
        <v>36</v>
      </c>
      <c r="C522" s="104" t="s">
        <v>11</v>
      </c>
      <c r="D522" s="113"/>
      <c r="E522" s="113"/>
      <c r="F522" s="117"/>
      <c r="G522" s="111">
        <f>IF('Input Global'!$B$60="frontier number",'Input Frontier'!G108,IF('Input Global'!$B$60="CPI",$F$391*(1+inflation),$F$391*('Input Frontier'!G108/'Input Frontier'!F108)))</f>
        <v>0.12683626123551256</v>
      </c>
      <c r="H522" s="111">
        <f>IF('Input Global'!$B$60="frontier number",'Input Frontier'!H108,IF('Input Global'!$B$60="CPI",$F$391*(1+inflation)^2,G522*('Input Frontier'!H108/'Input Frontier'!G108)))</f>
        <v>0.11021384523313771</v>
      </c>
    </row>
    <row r="523" spans="1:10" s="104" customFormat="1" ht="14.25" customHeight="1" x14ac:dyDescent="0.3">
      <c r="A523" s="54" t="str">
        <f>Dist5</f>
        <v>Jemena</v>
      </c>
      <c r="B523" s="113" t="s">
        <v>36</v>
      </c>
      <c r="C523" s="104" t="s">
        <v>11</v>
      </c>
      <c r="D523" s="113"/>
      <c r="E523" s="113"/>
      <c r="F523" s="117"/>
      <c r="G523" s="111">
        <f>IF('Input Global'!$B$60="frontier number",'Input Frontier'!G109,IF('Input Global'!$B$60="CPI",$F$402*(1+inflation),$F$402*('Input Frontier'!G109/'Input Frontier'!F109)))</f>
        <v>0.12683626123551256</v>
      </c>
      <c r="H523" s="111">
        <f>IF('Input Global'!$B$60="frontier number",'Input Frontier'!H109,IF('Input Global'!$B$60="CPI",$F$402*(1+inflation)^2,G523*('Input Frontier'!H109/'Input Frontier'!G109)))</f>
        <v>0.11021384523313771</v>
      </c>
    </row>
    <row r="524" spans="1:10" s="104" customFormat="1" ht="14.25" customHeight="1" x14ac:dyDescent="0.3">
      <c r="A524" s="54"/>
      <c r="B524" s="113"/>
      <c r="C524" s="113"/>
      <c r="D524" s="113"/>
      <c r="E524" s="113"/>
      <c r="F524" s="117"/>
      <c r="G524" s="113"/>
      <c r="H524" s="113"/>
      <c r="I524" s="113"/>
      <c r="J524" s="113"/>
    </row>
    <row r="525" spans="1:10" s="104" customFormat="1" x14ac:dyDescent="0.3">
      <c r="A525" s="110" t="str">
        <f>Scheme1</f>
        <v>Energy Saver Incentive</v>
      </c>
      <c r="F525" s="117"/>
      <c r="G525" s="117"/>
      <c r="H525" s="117"/>
    </row>
    <row r="526" spans="1:10" s="104" customFormat="1" x14ac:dyDescent="0.3">
      <c r="A526" s="54" t="str">
        <f>Dist1</f>
        <v>Citipower</v>
      </c>
      <c r="B526" s="113"/>
      <c r="D526" s="113"/>
      <c r="E526" s="113"/>
      <c r="F526" s="117"/>
      <c r="G526" s="117"/>
      <c r="H526" s="117"/>
      <c r="I526" s="117"/>
      <c r="J526" s="117"/>
    </row>
    <row r="527" spans="1:10" s="104" customFormat="1" x14ac:dyDescent="0.3">
      <c r="A527" s="104" t="str">
        <f ca="1">A512</f>
        <v>Calc (Jurisdiction)</v>
      </c>
      <c r="B527" s="151"/>
      <c r="C527" s="104" t="s">
        <v>11</v>
      </c>
      <c r="D527" s="113"/>
      <c r="E527" s="113"/>
      <c r="F527" s="117"/>
      <c r="G527" s="152"/>
      <c r="H527" s="152"/>
      <c r="I527" s="117"/>
      <c r="J527" s="117"/>
    </row>
    <row r="528" spans="1:10" s="104" customFormat="1" x14ac:dyDescent="0.3">
      <c r="A528" s="104" t="str">
        <f ca="1">'Calc (LRMC Planning case)'!$B$2</f>
        <v>Calc (LRMC Planning case)</v>
      </c>
      <c r="B528" s="151"/>
      <c r="C528" s="104" t="s">
        <v>11</v>
      </c>
      <c r="D528" s="113"/>
      <c r="E528" s="113"/>
      <c r="F528" s="117"/>
      <c r="G528" s="111"/>
      <c r="H528" s="111"/>
      <c r="I528" s="117"/>
      <c r="J528" s="117"/>
    </row>
    <row r="529" spans="1:14" s="104" customFormat="1" x14ac:dyDescent="0.3">
      <c r="A529" s="104" t="str">
        <f ca="1">'Calc (LRMC Slow Rate)'!$B$2</f>
        <v>Calc (LRMC Slow Rate)</v>
      </c>
      <c r="B529" s="151"/>
      <c r="C529" s="104" t="s">
        <v>11</v>
      </c>
      <c r="D529" s="113"/>
      <c r="E529" s="113"/>
      <c r="F529" s="117"/>
      <c r="G529" s="111"/>
      <c r="H529" s="111"/>
      <c r="I529" s="117"/>
      <c r="J529" s="117"/>
    </row>
    <row r="530" spans="1:14" s="104" customFormat="1" x14ac:dyDescent="0.3">
      <c r="A530" s="104" t="str">
        <f ca="1">'Calc (Market Planning Case)'!$B$2</f>
        <v>Calc (Market Planning Case)</v>
      </c>
      <c r="B530" s="151"/>
      <c r="C530" s="104" t="s">
        <v>11</v>
      </c>
      <c r="D530" s="113"/>
      <c r="E530" s="113"/>
      <c r="F530" s="117"/>
      <c r="G530" s="111"/>
      <c r="H530" s="111"/>
      <c r="I530" s="117"/>
      <c r="J530" s="117"/>
    </row>
    <row r="531" spans="1:14" s="104" customFormat="1" x14ac:dyDescent="0.3">
      <c r="A531" s="104" t="str">
        <f ca="1">'Calc (Market Slow Rate)'!$B$2</f>
        <v>Calc (Market Slow Rate)</v>
      </c>
      <c r="B531" s="151"/>
      <c r="C531" s="104" t="s">
        <v>11</v>
      </c>
      <c r="D531" s="113"/>
      <c r="E531" s="113"/>
      <c r="F531" s="117"/>
      <c r="G531" s="111"/>
      <c r="H531" s="111"/>
      <c r="I531" s="117"/>
      <c r="J531" s="117"/>
    </row>
    <row r="532" spans="1:14" s="104" customFormat="1" x14ac:dyDescent="0.3">
      <c r="A532" s="54"/>
      <c r="B532" s="113"/>
      <c r="C532" s="113"/>
      <c r="D532" s="113"/>
      <c r="E532" s="113"/>
      <c r="F532" s="117"/>
      <c r="G532" s="117"/>
      <c r="H532" s="117"/>
      <c r="I532" s="117"/>
      <c r="J532" s="117"/>
    </row>
    <row r="533" spans="1:14" s="104" customFormat="1" x14ac:dyDescent="0.3">
      <c r="A533" s="54" t="str">
        <f>Dist2</f>
        <v>Powercor</v>
      </c>
      <c r="B533" s="113"/>
      <c r="D533" s="113"/>
      <c r="E533" s="113"/>
      <c r="F533" s="117"/>
      <c r="G533" s="117"/>
      <c r="H533" s="117"/>
      <c r="I533" s="117"/>
    </row>
    <row r="534" spans="1:14" s="104" customFormat="1" x14ac:dyDescent="0.3">
      <c r="A534" s="104" t="str">
        <f ca="1">A527</f>
        <v>Calc (Jurisdiction)</v>
      </c>
      <c r="B534" s="151"/>
      <c r="C534" s="104" t="s">
        <v>11</v>
      </c>
      <c r="D534" s="113"/>
      <c r="E534" s="113"/>
      <c r="F534" s="117"/>
      <c r="G534" s="152"/>
      <c r="H534" s="152"/>
      <c r="I534" s="117"/>
    </row>
    <row r="535" spans="1:14" s="104" customFormat="1" x14ac:dyDescent="0.3">
      <c r="A535" s="104" t="str">
        <f ca="1">'Calc (LRMC Planning case)'!$B$2</f>
        <v>Calc (LRMC Planning case)</v>
      </c>
      <c r="B535" s="151"/>
      <c r="C535" s="104" t="s">
        <v>11</v>
      </c>
      <c r="D535" s="113"/>
      <c r="E535" s="113"/>
      <c r="F535" s="117"/>
      <c r="G535" s="111"/>
      <c r="H535" s="111"/>
      <c r="I535" s="117"/>
    </row>
    <row r="536" spans="1:14" s="104" customFormat="1" x14ac:dyDescent="0.3">
      <c r="A536" s="104" t="str">
        <f ca="1">'Calc (LRMC Slow Rate)'!$B$2</f>
        <v>Calc (LRMC Slow Rate)</v>
      </c>
      <c r="B536" s="151"/>
      <c r="C536" s="104" t="s">
        <v>11</v>
      </c>
      <c r="D536" s="113"/>
      <c r="E536" s="113"/>
      <c r="F536" s="117"/>
      <c r="G536" s="111"/>
      <c r="H536" s="111"/>
      <c r="I536" s="117"/>
    </row>
    <row r="537" spans="1:14" s="104" customFormat="1" x14ac:dyDescent="0.3">
      <c r="A537" s="104" t="str">
        <f ca="1">'Calc (Market Planning Case)'!$B$2</f>
        <v>Calc (Market Planning Case)</v>
      </c>
      <c r="B537" s="151"/>
      <c r="C537" s="104" t="s">
        <v>11</v>
      </c>
      <c r="D537" s="113"/>
      <c r="E537" s="113"/>
      <c r="F537" s="117"/>
      <c r="G537" s="111"/>
      <c r="H537" s="111"/>
      <c r="I537" s="117"/>
    </row>
    <row r="538" spans="1:14" s="104" customFormat="1" x14ac:dyDescent="0.3">
      <c r="A538" s="104" t="str">
        <f ca="1">'Calc (Market Slow Rate)'!$B$2</f>
        <v>Calc (Market Slow Rate)</v>
      </c>
      <c r="B538" s="151"/>
      <c r="C538" s="104" t="s">
        <v>11</v>
      </c>
      <c r="D538" s="113"/>
      <c r="E538" s="113"/>
      <c r="F538" s="117"/>
      <c r="G538" s="111"/>
      <c r="H538" s="111"/>
      <c r="I538" s="117"/>
    </row>
    <row r="539" spans="1:14" s="104" customFormat="1" x14ac:dyDescent="0.3">
      <c r="A539" s="54"/>
      <c r="B539" s="113"/>
      <c r="C539" s="113"/>
      <c r="D539" s="113"/>
      <c r="E539" s="113"/>
      <c r="F539" s="113"/>
      <c r="G539" s="113"/>
      <c r="H539" s="113"/>
      <c r="I539" s="113"/>
      <c r="J539" s="113"/>
      <c r="K539" s="113"/>
      <c r="L539" s="113"/>
      <c r="M539" s="113"/>
      <c r="N539" s="113"/>
    </row>
    <row r="540" spans="1:14" s="104" customFormat="1" x14ac:dyDescent="0.3">
      <c r="A540" s="54" t="str">
        <f>Dist3</f>
        <v>SP Ausnet</v>
      </c>
      <c r="B540" s="113"/>
      <c r="D540" s="113"/>
      <c r="E540" s="113"/>
      <c r="F540" s="117"/>
      <c r="G540" s="117"/>
      <c r="H540" s="117"/>
      <c r="I540" s="117"/>
    </row>
    <row r="541" spans="1:14" s="104" customFormat="1" x14ac:dyDescent="0.3">
      <c r="A541" s="104" t="str">
        <f ca="1">A534</f>
        <v>Calc (Jurisdiction)</v>
      </c>
      <c r="B541" s="151"/>
      <c r="C541" s="104" t="s">
        <v>11</v>
      </c>
      <c r="D541" s="113"/>
      <c r="E541" s="113"/>
      <c r="F541" s="117"/>
      <c r="G541" s="152"/>
      <c r="H541" s="152"/>
      <c r="I541" s="117"/>
    </row>
    <row r="542" spans="1:14" s="104" customFormat="1" x14ac:dyDescent="0.3">
      <c r="A542" s="104" t="str">
        <f ca="1">'Calc (LRMC Planning case)'!$B$2</f>
        <v>Calc (LRMC Planning case)</v>
      </c>
      <c r="B542" s="151"/>
      <c r="C542" s="104" t="s">
        <v>11</v>
      </c>
      <c r="D542" s="113"/>
      <c r="E542" s="113"/>
      <c r="F542" s="117"/>
      <c r="G542" s="111"/>
      <c r="H542" s="111"/>
      <c r="I542" s="117"/>
    </row>
    <row r="543" spans="1:14" s="104" customFormat="1" x14ac:dyDescent="0.3">
      <c r="A543" s="104" t="str">
        <f ca="1">'Calc (LRMC Slow Rate)'!$B$2</f>
        <v>Calc (LRMC Slow Rate)</v>
      </c>
      <c r="B543" s="151"/>
      <c r="C543" s="104" t="s">
        <v>11</v>
      </c>
      <c r="D543" s="113"/>
      <c r="E543" s="113"/>
      <c r="F543" s="117"/>
      <c r="G543" s="111"/>
      <c r="H543" s="111"/>
      <c r="I543" s="117"/>
    </row>
    <row r="544" spans="1:14" s="104" customFormat="1" x14ac:dyDescent="0.3">
      <c r="A544" s="104" t="str">
        <f ca="1">'Calc (Market Planning Case)'!$B$2</f>
        <v>Calc (Market Planning Case)</v>
      </c>
      <c r="B544" s="151"/>
      <c r="C544" s="104" t="s">
        <v>11</v>
      </c>
      <c r="D544" s="113"/>
      <c r="E544" s="113"/>
      <c r="F544" s="117"/>
      <c r="G544" s="111"/>
      <c r="H544" s="111"/>
      <c r="I544" s="117"/>
    </row>
    <row r="545" spans="1:13" s="104" customFormat="1" x14ac:dyDescent="0.3">
      <c r="A545" s="104" t="str">
        <f ca="1">'Calc (Market Slow Rate)'!$B$2</f>
        <v>Calc (Market Slow Rate)</v>
      </c>
      <c r="B545" s="151"/>
      <c r="C545" s="104" t="s">
        <v>11</v>
      </c>
      <c r="D545" s="113"/>
      <c r="E545" s="113"/>
      <c r="F545" s="117"/>
      <c r="G545" s="111"/>
      <c r="H545" s="111"/>
      <c r="I545" s="117"/>
    </row>
    <row r="546" spans="1:13" s="104" customFormat="1" x14ac:dyDescent="0.3">
      <c r="A546" s="54"/>
      <c r="B546" s="153"/>
      <c r="C546" s="113"/>
      <c r="D546" s="113"/>
      <c r="E546" s="113"/>
      <c r="F546" s="113"/>
      <c r="G546" s="113"/>
      <c r="H546" s="113"/>
      <c r="I546" s="110"/>
      <c r="J546" s="113"/>
      <c r="K546" s="113"/>
    </row>
    <row r="547" spans="1:13" s="104" customFormat="1" x14ac:dyDescent="0.3">
      <c r="A547" s="54" t="str">
        <f>Dist4</f>
        <v>United</v>
      </c>
      <c r="B547" s="113"/>
      <c r="D547" s="113"/>
      <c r="E547" s="113"/>
      <c r="F547" s="117"/>
      <c r="G547" s="117"/>
      <c r="H547" s="117"/>
      <c r="I547" s="117"/>
    </row>
    <row r="548" spans="1:13" s="104" customFormat="1" x14ac:dyDescent="0.3">
      <c r="A548" s="104" t="str">
        <f ca="1">A541</f>
        <v>Calc (Jurisdiction)</v>
      </c>
      <c r="B548" s="151"/>
      <c r="C548" s="104" t="s">
        <v>11</v>
      </c>
      <c r="D548" s="113"/>
      <c r="E548" s="113"/>
      <c r="F548" s="117"/>
      <c r="G548" s="152"/>
      <c r="H548" s="152"/>
      <c r="I548" s="117"/>
    </row>
    <row r="549" spans="1:13" s="104" customFormat="1" x14ac:dyDescent="0.3">
      <c r="A549" s="104" t="str">
        <f ca="1">'Calc (LRMC Planning case)'!$B$2</f>
        <v>Calc (LRMC Planning case)</v>
      </c>
      <c r="B549" s="151"/>
      <c r="C549" s="104" t="s">
        <v>11</v>
      </c>
      <c r="D549" s="113"/>
      <c r="E549" s="113"/>
      <c r="F549" s="117"/>
      <c r="G549" s="111"/>
      <c r="H549" s="111"/>
      <c r="I549" s="117"/>
    </row>
    <row r="550" spans="1:13" s="104" customFormat="1" x14ac:dyDescent="0.3">
      <c r="A550" s="104" t="str">
        <f ca="1">'Calc (LRMC Slow Rate)'!$B$2</f>
        <v>Calc (LRMC Slow Rate)</v>
      </c>
      <c r="B550" s="151"/>
      <c r="C550" s="104" t="s">
        <v>11</v>
      </c>
      <c r="D550" s="113"/>
      <c r="E550" s="113"/>
      <c r="F550" s="117"/>
      <c r="G550" s="111"/>
      <c r="H550" s="111"/>
      <c r="I550" s="117"/>
    </row>
    <row r="551" spans="1:13" s="104" customFormat="1" x14ac:dyDescent="0.3">
      <c r="A551" s="104" t="str">
        <f ca="1">'Calc (Market Planning Case)'!$B$2</f>
        <v>Calc (Market Planning Case)</v>
      </c>
      <c r="B551" s="151"/>
      <c r="C551" s="104" t="s">
        <v>11</v>
      </c>
      <c r="D551" s="113"/>
      <c r="E551" s="113"/>
      <c r="F551" s="117"/>
      <c r="G551" s="111"/>
      <c r="H551" s="111"/>
      <c r="I551" s="117"/>
    </row>
    <row r="552" spans="1:13" s="104" customFormat="1" x14ac:dyDescent="0.3">
      <c r="A552" s="104" t="str">
        <f ca="1">'Calc (Market Slow Rate)'!$B$2</f>
        <v>Calc (Market Slow Rate)</v>
      </c>
      <c r="B552" s="151"/>
      <c r="C552" s="104" t="s">
        <v>11</v>
      </c>
      <c r="D552" s="113"/>
      <c r="E552" s="113"/>
      <c r="F552" s="117"/>
      <c r="G552" s="111"/>
      <c r="H552" s="111"/>
      <c r="I552" s="117"/>
    </row>
    <row r="553" spans="1:13" s="104" customFormat="1" x14ac:dyDescent="0.3">
      <c r="B553" s="113"/>
      <c r="C553" s="113"/>
      <c r="D553" s="113"/>
      <c r="E553" s="113"/>
      <c r="F553" s="113"/>
      <c r="G553" s="113"/>
      <c r="H553" s="113"/>
      <c r="I553" s="113"/>
      <c r="J553" s="113"/>
      <c r="K553" s="113"/>
      <c r="L553" s="113"/>
      <c r="M553" s="113"/>
    </row>
    <row r="554" spans="1:13" s="104" customFormat="1" x14ac:dyDescent="0.3">
      <c r="A554" s="54" t="str">
        <f>Dist5</f>
        <v>Jemena</v>
      </c>
      <c r="B554" s="113"/>
      <c r="D554" s="113"/>
      <c r="E554" s="113"/>
      <c r="F554" s="117"/>
      <c r="G554" s="117"/>
      <c r="H554" s="117"/>
      <c r="I554" s="117"/>
    </row>
    <row r="555" spans="1:13" s="104" customFormat="1" x14ac:dyDescent="0.3">
      <c r="A555" s="104" t="str">
        <f ca="1">A548</f>
        <v>Calc (Jurisdiction)</v>
      </c>
      <c r="B555" s="151"/>
      <c r="C555" s="104" t="s">
        <v>11</v>
      </c>
      <c r="D555" s="113"/>
      <c r="E555" s="113"/>
      <c r="F555" s="117"/>
      <c r="G555" s="152"/>
      <c r="H555" s="152"/>
      <c r="I555" s="117"/>
    </row>
    <row r="556" spans="1:13" s="104" customFormat="1" x14ac:dyDescent="0.3">
      <c r="A556" s="104" t="str">
        <f ca="1">'Calc (LRMC Planning case)'!$B$2</f>
        <v>Calc (LRMC Planning case)</v>
      </c>
      <c r="B556" s="151"/>
      <c r="C556" s="104" t="s">
        <v>11</v>
      </c>
      <c r="D556" s="113"/>
      <c r="E556" s="113"/>
      <c r="F556" s="117"/>
      <c r="G556" s="111"/>
      <c r="H556" s="111"/>
      <c r="I556" s="117"/>
    </row>
    <row r="557" spans="1:13" s="104" customFormat="1" x14ac:dyDescent="0.3">
      <c r="A557" s="104" t="str">
        <f ca="1">'Calc (LRMC Slow Rate)'!$B$2</f>
        <v>Calc (LRMC Slow Rate)</v>
      </c>
      <c r="B557" s="151"/>
      <c r="C557" s="104" t="s">
        <v>11</v>
      </c>
      <c r="D557" s="113"/>
      <c r="E557" s="113"/>
      <c r="F557" s="117"/>
      <c r="G557" s="111"/>
      <c r="H557" s="111"/>
      <c r="I557" s="117"/>
    </row>
    <row r="558" spans="1:13" s="104" customFormat="1" x14ac:dyDescent="0.3">
      <c r="A558" s="104" t="str">
        <f ca="1">'Calc (Market Planning Case)'!$B$2</f>
        <v>Calc (Market Planning Case)</v>
      </c>
      <c r="B558" s="151"/>
      <c r="C558" s="104" t="s">
        <v>11</v>
      </c>
      <c r="D558" s="113"/>
      <c r="E558" s="113"/>
      <c r="F558" s="117"/>
      <c r="G558" s="111"/>
      <c r="H558" s="111"/>
      <c r="I558" s="117"/>
    </row>
    <row r="559" spans="1:13" s="104" customFormat="1" x14ac:dyDescent="0.3">
      <c r="A559" s="104" t="str">
        <f ca="1">'Calc (Market Slow Rate)'!$B$2</f>
        <v>Calc (Market Slow Rate)</v>
      </c>
      <c r="B559" s="151"/>
      <c r="C559" s="104" t="s">
        <v>11</v>
      </c>
      <c r="D559" s="113"/>
      <c r="E559" s="113"/>
      <c r="F559" s="117"/>
      <c r="G559" s="111"/>
      <c r="H559" s="111"/>
      <c r="I559" s="117"/>
    </row>
    <row r="560" spans="1:13" s="104" customFormat="1" x14ac:dyDescent="0.3">
      <c r="A560" s="54"/>
      <c r="B560" s="113"/>
      <c r="C560" s="113"/>
      <c r="D560" s="113"/>
      <c r="E560" s="113"/>
      <c r="F560" s="113"/>
      <c r="G560" s="113"/>
      <c r="H560" s="113"/>
      <c r="I560" s="113"/>
      <c r="J560" s="113"/>
      <c r="K560" s="113"/>
    </row>
    <row r="561" spans="1:14" s="104" customFormat="1" x14ac:dyDescent="0.3">
      <c r="A561" s="110" t="str">
        <f>Scheme2</f>
        <v>blank</v>
      </c>
    </row>
    <row r="562" spans="1:14" s="104" customFormat="1" x14ac:dyDescent="0.3">
      <c r="A562" s="54" t="str">
        <f>Dist1</f>
        <v>Citipower</v>
      </c>
      <c r="B562" s="113"/>
      <c r="D562" s="113"/>
      <c r="E562" s="113"/>
      <c r="F562" s="117"/>
      <c r="G562" s="117"/>
      <c r="H562" s="117"/>
      <c r="I562" s="117"/>
      <c r="J562" s="117"/>
    </row>
    <row r="563" spans="1:14" s="104" customFormat="1" x14ac:dyDescent="0.3">
      <c r="A563" s="104" t="str">
        <f ca="1">A548</f>
        <v>Calc (Jurisdiction)</v>
      </c>
      <c r="B563" s="151"/>
      <c r="C563" s="104" t="s">
        <v>11</v>
      </c>
      <c r="D563" s="113"/>
      <c r="E563" s="113"/>
      <c r="F563" s="117"/>
      <c r="G563" s="152"/>
      <c r="H563" s="152"/>
      <c r="I563" s="117"/>
      <c r="J563" s="117"/>
    </row>
    <row r="564" spans="1:14" s="104" customFormat="1" x14ac:dyDescent="0.3">
      <c r="A564" s="104" t="str">
        <f ca="1">'Calc (LRMC Planning case)'!$B$2</f>
        <v>Calc (LRMC Planning case)</v>
      </c>
      <c r="B564" s="151"/>
      <c r="C564" s="104" t="s">
        <v>11</v>
      </c>
      <c r="D564" s="113"/>
      <c r="E564" s="113"/>
      <c r="F564" s="117"/>
      <c r="G564" s="111"/>
      <c r="H564" s="111"/>
      <c r="I564" s="117"/>
      <c r="J564" s="117"/>
    </row>
    <row r="565" spans="1:14" s="104" customFormat="1" x14ac:dyDescent="0.3">
      <c r="A565" s="104" t="str">
        <f ca="1">'Calc (LRMC Slow Rate)'!$B$2</f>
        <v>Calc (LRMC Slow Rate)</v>
      </c>
      <c r="B565" s="151"/>
      <c r="C565" s="104" t="s">
        <v>11</v>
      </c>
      <c r="D565" s="113"/>
      <c r="E565" s="113"/>
      <c r="F565" s="117"/>
      <c r="G565" s="111"/>
      <c r="H565" s="111"/>
      <c r="I565" s="117"/>
      <c r="J565" s="117"/>
    </row>
    <row r="566" spans="1:14" s="104" customFormat="1" x14ac:dyDescent="0.3">
      <c r="A566" s="104" t="str">
        <f ca="1">'Calc (Market Planning Case)'!$B$2</f>
        <v>Calc (Market Planning Case)</v>
      </c>
      <c r="B566" s="151"/>
      <c r="C566" s="104" t="s">
        <v>11</v>
      </c>
      <c r="D566" s="113"/>
      <c r="E566" s="113"/>
      <c r="F566" s="117"/>
      <c r="G566" s="111"/>
      <c r="H566" s="111"/>
      <c r="I566" s="117"/>
      <c r="J566" s="117"/>
    </row>
    <row r="567" spans="1:14" s="104" customFormat="1" x14ac:dyDescent="0.3">
      <c r="A567" s="104" t="str">
        <f ca="1">'Calc (Market Slow Rate)'!$B$2</f>
        <v>Calc (Market Slow Rate)</v>
      </c>
      <c r="B567" s="151"/>
      <c r="C567" s="104" t="s">
        <v>11</v>
      </c>
      <c r="D567" s="113"/>
      <c r="E567" s="113"/>
      <c r="F567" s="117"/>
      <c r="G567" s="111"/>
      <c r="H567" s="111"/>
      <c r="I567" s="117"/>
      <c r="J567" s="117"/>
    </row>
    <row r="568" spans="1:14" s="104" customFormat="1" x14ac:dyDescent="0.3">
      <c r="A568" s="54"/>
      <c r="B568" s="113"/>
      <c r="C568" s="113"/>
      <c r="D568" s="113"/>
      <c r="E568" s="113"/>
      <c r="F568" s="117"/>
      <c r="G568" s="117"/>
      <c r="H568" s="117"/>
      <c r="I568" s="117"/>
      <c r="J568" s="117"/>
    </row>
    <row r="569" spans="1:14" s="104" customFormat="1" x14ac:dyDescent="0.3">
      <c r="A569" s="54" t="str">
        <f>Dist2</f>
        <v>Powercor</v>
      </c>
      <c r="B569" s="113"/>
      <c r="D569" s="113"/>
      <c r="E569" s="113"/>
      <c r="F569" s="117"/>
      <c r="G569" s="117"/>
      <c r="H569" s="117"/>
      <c r="I569" s="117"/>
    </row>
    <row r="570" spans="1:14" s="104" customFormat="1" x14ac:dyDescent="0.3">
      <c r="A570" s="104" t="str">
        <f ca="1">A563</f>
        <v>Calc (Jurisdiction)</v>
      </c>
      <c r="B570" s="151"/>
      <c r="C570" s="104" t="s">
        <v>11</v>
      </c>
      <c r="D570" s="113"/>
      <c r="E570" s="113"/>
      <c r="F570" s="117"/>
      <c r="G570" s="152"/>
      <c r="H570" s="152"/>
      <c r="I570" s="117"/>
    </row>
    <row r="571" spans="1:14" s="104" customFormat="1" x14ac:dyDescent="0.3">
      <c r="A571" s="104" t="str">
        <f ca="1">'Calc (LRMC Planning case)'!$B$2</f>
        <v>Calc (LRMC Planning case)</v>
      </c>
      <c r="B571" s="151"/>
      <c r="C571" s="104" t="s">
        <v>11</v>
      </c>
      <c r="D571" s="113"/>
      <c r="E571" s="113"/>
      <c r="F571" s="117"/>
      <c r="G571" s="111"/>
      <c r="H571" s="111"/>
      <c r="I571" s="117"/>
    </row>
    <row r="572" spans="1:14" s="104" customFormat="1" x14ac:dyDescent="0.3">
      <c r="A572" s="104" t="str">
        <f ca="1">'Calc (LRMC Slow Rate)'!$B$2</f>
        <v>Calc (LRMC Slow Rate)</v>
      </c>
      <c r="B572" s="151"/>
      <c r="C572" s="104" t="s">
        <v>11</v>
      </c>
      <c r="D572" s="113"/>
      <c r="E572" s="113"/>
      <c r="F572" s="117"/>
      <c r="G572" s="111"/>
      <c r="H572" s="111"/>
      <c r="I572" s="117"/>
    </row>
    <row r="573" spans="1:14" s="104" customFormat="1" x14ac:dyDescent="0.3">
      <c r="A573" s="104" t="str">
        <f ca="1">'Calc (Market Planning Case)'!$B$2</f>
        <v>Calc (Market Planning Case)</v>
      </c>
      <c r="B573" s="151"/>
      <c r="C573" s="104" t="s">
        <v>11</v>
      </c>
      <c r="D573" s="113"/>
      <c r="E573" s="113"/>
      <c r="F573" s="117"/>
      <c r="G573" s="111"/>
      <c r="H573" s="111"/>
      <c r="I573" s="117"/>
    </row>
    <row r="574" spans="1:14" s="104" customFormat="1" x14ac:dyDescent="0.3">
      <c r="A574" s="104" t="str">
        <f ca="1">'Calc (Market Slow Rate)'!$B$2</f>
        <v>Calc (Market Slow Rate)</v>
      </c>
      <c r="B574" s="151"/>
      <c r="C574" s="104" t="s">
        <v>11</v>
      </c>
      <c r="D574" s="113"/>
      <c r="E574" s="113"/>
      <c r="F574" s="117"/>
      <c r="G574" s="111"/>
      <c r="H574" s="111"/>
      <c r="I574" s="117"/>
    </row>
    <row r="575" spans="1:14" s="104" customFormat="1" x14ac:dyDescent="0.3">
      <c r="A575" s="54"/>
      <c r="B575" s="113"/>
      <c r="C575" s="113"/>
      <c r="D575" s="113"/>
      <c r="E575" s="113"/>
      <c r="F575" s="117"/>
      <c r="G575" s="117"/>
      <c r="H575" s="117"/>
      <c r="I575" s="113"/>
      <c r="J575" s="113"/>
      <c r="K575" s="113"/>
      <c r="L575" s="113"/>
      <c r="M575" s="113"/>
      <c r="N575" s="113"/>
    </row>
    <row r="576" spans="1:14" s="104" customFormat="1" x14ac:dyDescent="0.3">
      <c r="A576" s="54" t="str">
        <f>Dist3</f>
        <v>SP Ausnet</v>
      </c>
      <c r="B576" s="113"/>
      <c r="D576" s="113"/>
      <c r="E576" s="113"/>
      <c r="F576" s="117"/>
      <c r="G576" s="117"/>
      <c r="H576" s="117"/>
      <c r="I576" s="117"/>
    </row>
    <row r="577" spans="1:13" s="104" customFormat="1" x14ac:dyDescent="0.3">
      <c r="A577" s="104" t="str">
        <f ca="1">A570</f>
        <v>Calc (Jurisdiction)</v>
      </c>
      <c r="B577" s="151"/>
      <c r="C577" s="104" t="s">
        <v>11</v>
      </c>
      <c r="D577" s="113"/>
      <c r="E577" s="113"/>
      <c r="F577" s="117"/>
      <c r="G577" s="152"/>
      <c r="H577" s="152"/>
      <c r="I577" s="117"/>
    </row>
    <row r="578" spans="1:13" s="104" customFormat="1" x14ac:dyDescent="0.3">
      <c r="A578" s="104" t="str">
        <f ca="1">'Calc (LRMC Planning case)'!$B$2</f>
        <v>Calc (LRMC Planning case)</v>
      </c>
      <c r="B578" s="151"/>
      <c r="C578" s="104" t="s">
        <v>11</v>
      </c>
      <c r="D578" s="113"/>
      <c r="E578" s="113"/>
      <c r="F578" s="117"/>
      <c r="G578" s="111"/>
      <c r="H578" s="111"/>
      <c r="I578" s="117"/>
    </row>
    <row r="579" spans="1:13" s="104" customFormat="1" x14ac:dyDescent="0.3">
      <c r="A579" s="104" t="str">
        <f ca="1">'Calc (LRMC Slow Rate)'!$B$2</f>
        <v>Calc (LRMC Slow Rate)</v>
      </c>
      <c r="B579" s="151"/>
      <c r="C579" s="104" t="s">
        <v>11</v>
      </c>
      <c r="D579" s="113"/>
      <c r="E579" s="113"/>
      <c r="F579" s="117"/>
      <c r="G579" s="111"/>
      <c r="H579" s="111"/>
      <c r="I579" s="117"/>
    </row>
    <row r="580" spans="1:13" s="104" customFormat="1" x14ac:dyDescent="0.3">
      <c r="A580" s="104" t="str">
        <f ca="1">'Calc (Market Planning Case)'!$B$2</f>
        <v>Calc (Market Planning Case)</v>
      </c>
      <c r="B580" s="151"/>
      <c r="C580" s="104" t="s">
        <v>11</v>
      </c>
      <c r="D580" s="113"/>
      <c r="E580" s="113"/>
      <c r="F580" s="117"/>
      <c r="G580" s="111"/>
      <c r="H580" s="111"/>
      <c r="I580" s="117"/>
    </row>
    <row r="581" spans="1:13" s="104" customFormat="1" x14ac:dyDescent="0.3">
      <c r="A581" s="104" t="str">
        <f ca="1">'Calc (Market Slow Rate)'!$B$2</f>
        <v>Calc (Market Slow Rate)</v>
      </c>
      <c r="B581" s="151"/>
      <c r="C581" s="104" t="s">
        <v>11</v>
      </c>
      <c r="D581" s="113"/>
      <c r="E581" s="113"/>
      <c r="F581" s="117"/>
      <c r="G581" s="111"/>
      <c r="H581" s="111"/>
      <c r="I581" s="117"/>
    </row>
    <row r="582" spans="1:13" s="104" customFormat="1" x14ac:dyDescent="0.3">
      <c r="A582" s="54"/>
      <c r="B582" s="113"/>
      <c r="C582" s="113"/>
      <c r="D582" s="113"/>
      <c r="E582" s="113"/>
      <c r="F582" s="113"/>
      <c r="G582" s="113"/>
      <c r="H582" s="113"/>
      <c r="I582" s="113"/>
      <c r="J582" s="113"/>
      <c r="K582" s="113"/>
    </row>
    <row r="583" spans="1:13" s="104" customFormat="1" x14ac:dyDescent="0.3">
      <c r="A583" s="54" t="str">
        <f>Dist4</f>
        <v>United</v>
      </c>
      <c r="B583" s="113"/>
      <c r="D583" s="113"/>
      <c r="E583" s="113"/>
      <c r="F583" s="117"/>
      <c r="G583" s="117"/>
      <c r="H583" s="117"/>
      <c r="I583" s="117"/>
    </row>
    <row r="584" spans="1:13" s="104" customFormat="1" x14ac:dyDescent="0.3">
      <c r="A584" s="104" t="str">
        <f ca="1">A577</f>
        <v>Calc (Jurisdiction)</v>
      </c>
      <c r="B584" s="151"/>
      <c r="C584" s="104" t="s">
        <v>11</v>
      </c>
      <c r="D584" s="113"/>
      <c r="E584" s="113"/>
      <c r="F584" s="117"/>
      <c r="G584" s="152"/>
      <c r="H584" s="152"/>
      <c r="I584" s="117"/>
    </row>
    <row r="585" spans="1:13" s="104" customFormat="1" x14ac:dyDescent="0.3">
      <c r="A585" s="104" t="str">
        <f ca="1">'Calc (LRMC Planning case)'!$B$2</f>
        <v>Calc (LRMC Planning case)</v>
      </c>
      <c r="B585" s="151"/>
      <c r="C585" s="104" t="s">
        <v>11</v>
      </c>
      <c r="D585" s="113"/>
      <c r="E585" s="113"/>
      <c r="F585" s="117"/>
      <c r="G585" s="111"/>
      <c r="H585" s="111"/>
      <c r="I585" s="117"/>
    </row>
    <row r="586" spans="1:13" s="104" customFormat="1" x14ac:dyDescent="0.3">
      <c r="A586" s="104" t="str">
        <f ca="1">'Calc (LRMC Slow Rate)'!$B$2</f>
        <v>Calc (LRMC Slow Rate)</v>
      </c>
      <c r="B586" s="151"/>
      <c r="C586" s="104" t="s">
        <v>11</v>
      </c>
      <c r="D586" s="113"/>
      <c r="E586" s="113"/>
      <c r="F586" s="117"/>
      <c r="G586" s="111"/>
      <c r="H586" s="111"/>
      <c r="I586" s="117"/>
    </row>
    <row r="587" spans="1:13" s="104" customFormat="1" x14ac:dyDescent="0.3">
      <c r="A587" s="104" t="str">
        <f ca="1">'Calc (Market Planning Case)'!$B$2</f>
        <v>Calc (Market Planning Case)</v>
      </c>
      <c r="B587" s="151"/>
      <c r="C587" s="104" t="s">
        <v>11</v>
      </c>
      <c r="D587" s="113"/>
      <c r="E587" s="113"/>
      <c r="F587" s="117"/>
      <c r="G587" s="111"/>
      <c r="H587" s="111"/>
      <c r="I587" s="117"/>
    </row>
    <row r="588" spans="1:13" s="104" customFormat="1" x14ac:dyDescent="0.3">
      <c r="A588" s="104" t="str">
        <f ca="1">'Calc (Market Slow Rate)'!$B$2</f>
        <v>Calc (Market Slow Rate)</v>
      </c>
      <c r="B588" s="151"/>
      <c r="C588" s="104" t="s">
        <v>11</v>
      </c>
      <c r="D588" s="113"/>
      <c r="E588" s="113"/>
      <c r="F588" s="117"/>
      <c r="G588" s="111"/>
      <c r="H588" s="111"/>
      <c r="I588" s="117"/>
    </row>
    <row r="589" spans="1:13" s="104" customFormat="1" x14ac:dyDescent="0.3">
      <c r="B589" s="113"/>
      <c r="C589" s="113"/>
      <c r="D589" s="113"/>
      <c r="E589" s="113"/>
      <c r="F589" s="113"/>
      <c r="G589" s="113"/>
      <c r="H589" s="113"/>
      <c r="I589" s="113"/>
      <c r="J589" s="113"/>
      <c r="K589" s="113"/>
      <c r="L589" s="113"/>
      <c r="M589" s="113"/>
    </row>
    <row r="590" spans="1:13" s="104" customFormat="1" x14ac:dyDescent="0.3">
      <c r="A590" s="54" t="str">
        <f>Dist5</f>
        <v>Jemena</v>
      </c>
      <c r="B590" s="113"/>
      <c r="D590" s="113"/>
      <c r="E590" s="113"/>
      <c r="F590" s="117"/>
      <c r="G590" s="117"/>
      <c r="H590" s="117"/>
      <c r="I590" s="117"/>
      <c r="L590" s="113"/>
    </row>
    <row r="591" spans="1:13" s="104" customFormat="1" x14ac:dyDescent="0.3">
      <c r="A591" s="104" t="str">
        <f ca="1">A584</f>
        <v>Calc (Jurisdiction)</v>
      </c>
      <c r="B591" s="151"/>
      <c r="C591" s="104" t="s">
        <v>11</v>
      </c>
      <c r="D591" s="113"/>
      <c r="E591" s="113"/>
      <c r="F591" s="117"/>
      <c r="G591" s="152"/>
      <c r="H591" s="152"/>
      <c r="I591" s="117"/>
    </row>
    <row r="592" spans="1:13" s="104" customFormat="1" x14ac:dyDescent="0.3">
      <c r="A592" s="104" t="str">
        <f ca="1">'Calc (LRMC Planning case)'!$B$2</f>
        <v>Calc (LRMC Planning case)</v>
      </c>
      <c r="B592" s="151"/>
      <c r="C592" s="104" t="s">
        <v>11</v>
      </c>
      <c r="D592" s="113"/>
      <c r="E592" s="113"/>
      <c r="F592" s="117"/>
      <c r="G592" s="111"/>
      <c r="H592" s="111"/>
      <c r="I592" s="117"/>
    </row>
    <row r="593" spans="1:9" s="104" customFormat="1" x14ac:dyDescent="0.3">
      <c r="A593" s="104" t="str">
        <f ca="1">'Calc (LRMC Slow Rate)'!$B$2</f>
        <v>Calc (LRMC Slow Rate)</v>
      </c>
      <c r="B593" s="151"/>
      <c r="C593" s="104" t="s">
        <v>11</v>
      </c>
      <c r="D593" s="113"/>
      <c r="E593" s="113"/>
      <c r="F593" s="117"/>
      <c r="G593" s="111"/>
      <c r="H593" s="111"/>
      <c r="I593" s="117"/>
    </row>
    <row r="594" spans="1:9" s="104" customFormat="1" x14ac:dyDescent="0.3">
      <c r="A594" s="104" t="str">
        <f ca="1">'Calc (Market Planning Case)'!$B$2</f>
        <v>Calc (Market Planning Case)</v>
      </c>
      <c r="B594" s="151"/>
      <c r="C594" s="104" t="s">
        <v>11</v>
      </c>
      <c r="D594" s="113"/>
      <c r="E594" s="113"/>
      <c r="F594" s="117"/>
      <c r="G594" s="111"/>
      <c r="H594" s="111"/>
      <c r="I594" s="117"/>
    </row>
    <row r="595" spans="1:9" s="104" customFormat="1" x14ac:dyDescent="0.3">
      <c r="A595" s="104" t="str">
        <f ca="1">'Calc (Market Slow Rate)'!$B$2</f>
        <v>Calc (Market Slow Rate)</v>
      </c>
      <c r="B595" s="151"/>
      <c r="C595" s="104" t="s">
        <v>11</v>
      </c>
      <c r="D595" s="113"/>
      <c r="E595" s="113"/>
      <c r="F595" s="117"/>
      <c r="G595" s="111"/>
      <c r="H595" s="111"/>
      <c r="I595" s="117"/>
    </row>
    <row r="596" spans="1:9" s="104" customFormat="1" ht="14.25" customHeight="1" x14ac:dyDescent="0.3">
      <c r="A596" s="54"/>
      <c r="B596" s="51"/>
      <c r="C596" s="51"/>
      <c r="D596" s="51"/>
      <c r="E596" s="51"/>
      <c r="F596" s="53"/>
      <c r="G596" s="55"/>
      <c r="H596" s="55"/>
    </row>
    <row r="597" spans="1:9" s="35" customFormat="1" x14ac:dyDescent="0.3">
      <c r="A597" s="21" t="s">
        <v>23</v>
      </c>
      <c r="F597" s="53"/>
    </row>
    <row r="598" spans="1:9" s="35" customFormat="1" x14ac:dyDescent="0.3">
      <c r="A598" s="46" t="str">
        <f>"TUOS for "&amp;TNSP</f>
        <v>TUOS for SP Ausnet Transmission</v>
      </c>
    </row>
    <row r="599" spans="1:9" s="35" customFormat="1" x14ac:dyDescent="0.3">
      <c r="A599" s="54" t="str">
        <f>Dist1</f>
        <v>Citipower</v>
      </c>
    </row>
    <row r="600" spans="1:9" s="35" customFormat="1" x14ac:dyDescent="0.3">
      <c r="A600" s="35" t="s">
        <v>96</v>
      </c>
      <c r="B600" s="137" t="s">
        <v>134</v>
      </c>
      <c r="C600" s="140" t="s">
        <v>137</v>
      </c>
      <c r="D600" s="145"/>
      <c r="E600" s="145">
        <v>4.5975000000000001</v>
      </c>
      <c r="F600" s="149">
        <f>E600*(1+inflation)*(1-F606)/(1+F607)</f>
        <v>4.694312740384615</v>
      </c>
      <c r="G600" s="149">
        <f>F600*(1+inflation)*(1-G606)/(1+G607)</f>
        <v>4.7931641336677142</v>
      </c>
      <c r="H600" s="149">
        <f>G600*(1+inflation)*(1-H606)/(1+H607)</f>
        <v>4.8940971091747549</v>
      </c>
    </row>
    <row r="601" spans="1:9" s="35" customFormat="1" x14ac:dyDescent="0.3">
      <c r="A601" s="35" t="s">
        <v>97</v>
      </c>
      <c r="B601" s="137" t="s">
        <v>134</v>
      </c>
      <c r="C601" s="140" t="s">
        <v>138</v>
      </c>
      <c r="D601" s="147"/>
      <c r="E601" s="147">
        <v>9.0535000000000008E-3</v>
      </c>
      <c r="F601" s="150">
        <f>E601*(1+inflation)*(1-F606)/(1+F607)</f>
        <v>9.2441458173076942E-3</v>
      </c>
      <c r="G601" s="150">
        <f>F601*(1+inflation)*(1-G606)/(1+G607)</f>
        <v>9.4388061955760008E-3</v>
      </c>
      <c r="H601" s="150">
        <f>G601*(1+inflation)*(1-H606)/(1+H607)</f>
        <v>9.6375656721943773E-3</v>
      </c>
    </row>
    <row r="602" spans="1:9" s="35" customFormat="1" x14ac:dyDescent="0.3">
      <c r="A602" s="35" t="s">
        <v>98</v>
      </c>
      <c r="B602" s="137" t="s">
        <v>134</v>
      </c>
      <c r="C602" s="140" t="s">
        <v>138</v>
      </c>
      <c r="D602" s="147"/>
      <c r="E602" s="147">
        <v>9.0535000000000008E-3</v>
      </c>
      <c r="F602" s="150">
        <f>E602*(1+inflation)*(1-F606)/(1+F607)</f>
        <v>9.2441458173076942E-3</v>
      </c>
      <c r="G602" s="150">
        <f>F602*(1+inflation)*(1-G606)/(1+G607)</f>
        <v>9.4388061955760008E-3</v>
      </c>
      <c r="H602" s="150">
        <f>G602*(1+inflation)*(1-H606)/(1+H607)</f>
        <v>9.6375656721943773E-3</v>
      </c>
    </row>
    <row r="603" spans="1:9" s="35" customFormat="1" x14ac:dyDescent="0.3">
      <c r="A603" s="35" t="s">
        <v>25</v>
      </c>
      <c r="B603" s="137" t="s">
        <v>134</v>
      </c>
      <c r="C603" s="140" t="s">
        <v>138</v>
      </c>
      <c r="D603" s="147"/>
      <c r="E603" s="147">
        <v>0</v>
      </c>
      <c r="F603" s="150">
        <f>E603*(1+inflation)*(1-F606)/(1+F607)</f>
        <v>0</v>
      </c>
      <c r="G603" s="150">
        <f>F603*(1+inflation)*(1-G606)/(1+G607)</f>
        <v>0</v>
      </c>
      <c r="H603" s="150">
        <f>G603*(1+inflation)*(1-H606)/(1+H607)</f>
        <v>0</v>
      </c>
    </row>
    <row r="604" spans="1:9" s="35" customFormat="1" x14ac:dyDescent="0.3">
      <c r="A604" s="35" t="s">
        <v>80</v>
      </c>
      <c r="B604" s="137" t="s">
        <v>134</v>
      </c>
      <c r="C604" s="140" t="s">
        <v>138</v>
      </c>
      <c r="D604" s="147"/>
      <c r="E604" s="147">
        <v>0</v>
      </c>
      <c r="F604" s="148">
        <f>E604*(1+inflation)*(1-F606)/(1+F607)</f>
        <v>0</v>
      </c>
      <c r="G604" s="148">
        <f>F604*(1+inflation)*(1-G606)/(1+G607)</f>
        <v>0</v>
      </c>
      <c r="H604" s="148">
        <f>G604*(1+inflation)*(1-H606)/(1+H607)</f>
        <v>0</v>
      </c>
    </row>
    <row r="605" spans="1:9" s="35" customFormat="1" x14ac:dyDescent="0.3"/>
    <row r="606" spans="1:9" s="35" customFormat="1" x14ac:dyDescent="0.3">
      <c r="A606" s="35" t="s">
        <v>26</v>
      </c>
      <c r="D606" s="127">
        <f>'Input Global'!D$40</f>
        <v>0</v>
      </c>
      <c r="E606" s="127">
        <f>'Input Global'!E40</f>
        <v>-1.01E-2</v>
      </c>
      <c r="F606" s="127">
        <f>'Input Global'!F40</f>
        <v>-1.01E-2</v>
      </c>
      <c r="G606" s="127">
        <f>'Input Global'!G40</f>
        <v>-1.01E-2</v>
      </c>
      <c r="H606" s="127">
        <f>'Input Global'!H40</f>
        <v>-1.01E-2</v>
      </c>
    </row>
    <row r="607" spans="1:9" s="35" customFormat="1" x14ac:dyDescent="0.3">
      <c r="A607" s="35" t="s">
        <v>27</v>
      </c>
      <c r="D607" s="128">
        <f>'Input Global'!D$47</f>
        <v>1.4E-2</v>
      </c>
      <c r="E607" s="128">
        <f>'Input Global'!E$47</f>
        <v>1.4E-2</v>
      </c>
      <c r="F607" s="128">
        <f>'Input Global'!F$47</f>
        <v>1.4E-2</v>
      </c>
      <c r="G607" s="128">
        <f>'Input Global'!G$47</f>
        <v>1.4E-2</v>
      </c>
      <c r="H607" s="128">
        <f>'Input Global'!H$47</f>
        <v>1.4E-2</v>
      </c>
    </row>
    <row r="608" spans="1:9" s="35" customFormat="1" x14ac:dyDescent="0.3"/>
    <row r="609" spans="1:9" s="35" customFormat="1" x14ac:dyDescent="0.3">
      <c r="A609" s="54" t="str">
        <f>Dist2</f>
        <v>Powercor</v>
      </c>
    </row>
    <row r="610" spans="1:9" s="35" customFormat="1" x14ac:dyDescent="0.3">
      <c r="A610" s="35" t="str">
        <f>A600</f>
        <v>Supply charge (TUOS)</v>
      </c>
      <c r="B610" s="137" t="s">
        <v>134</v>
      </c>
      <c r="C610" s="140" t="s">
        <v>137</v>
      </c>
      <c r="D610" s="145"/>
      <c r="E610" s="145">
        <v>11.45565</v>
      </c>
      <c r="F610" s="149">
        <v>11.696879552884615</v>
      </c>
      <c r="G610" s="149">
        <v>11.943188843469397</v>
      </c>
      <c r="H610" s="149">
        <v>12.194684839307838</v>
      </c>
      <c r="I610" s="42"/>
    </row>
    <row r="611" spans="1:9" s="35" customFormat="1" x14ac:dyDescent="0.3">
      <c r="A611" s="35" t="str">
        <f>A601</f>
        <v>TUOS (1st step)</v>
      </c>
      <c r="B611" s="137" t="s">
        <v>134</v>
      </c>
      <c r="C611" s="140" t="s">
        <v>138</v>
      </c>
      <c r="D611" s="147"/>
      <c r="E611" s="147">
        <v>1.0811999999999999E-2</v>
      </c>
      <c r="F611" s="150">
        <v>1.1039675769230766E-2</v>
      </c>
      <c r="G611" s="150">
        <v>1.1272145864755913E-2</v>
      </c>
      <c r="H611" s="150">
        <v>1.1509511244023368E-2</v>
      </c>
    </row>
    <row r="612" spans="1:9" s="35" customFormat="1" x14ac:dyDescent="0.3">
      <c r="A612" s="35" t="str">
        <f>A602</f>
        <v>TUOS (2nd step)</v>
      </c>
      <c r="B612" s="137" t="s">
        <v>134</v>
      </c>
      <c r="C612" s="140" t="s">
        <v>138</v>
      </c>
      <c r="D612" s="147"/>
      <c r="E612" s="147">
        <v>1.0811999999999999E-2</v>
      </c>
      <c r="F612" s="150">
        <v>1.1039675769230766E-2</v>
      </c>
      <c r="G612" s="150">
        <v>1.1272145864755913E-2</v>
      </c>
      <c r="H612" s="150">
        <v>1.1509511244023368E-2</v>
      </c>
    </row>
    <row r="613" spans="1:9" s="35" customFormat="1" x14ac:dyDescent="0.3">
      <c r="A613" s="35" t="str">
        <f>A603</f>
        <v>TUOS (3rd step)</v>
      </c>
      <c r="B613" s="137" t="s">
        <v>134</v>
      </c>
      <c r="C613" s="140" t="s">
        <v>138</v>
      </c>
      <c r="D613" s="147"/>
      <c r="E613" s="147">
        <v>1.0811999999999999E-2</v>
      </c>
      <c r="F613" s="150">
        <v>1.1039675769230766E-2</v>
      </c>
      <c r="G613" s="150">
        <v>1.1272145864755913E-2</v>
      </c>
      <c r="H613" s="150">
        <v>1.1509511244023368E-2</v>
      </c>
    </row>
    <row r="614" spans="1:9" s="35" customFormat="1" x14ac:dyDescent="0.3">
      <c r="A614" s="35" t="str">
        <f>A604</f>
        <v>TUOS (4th step)</v>
      </c>
      <c r="B614" s="137" t="s">
        <v>134</v>
      </c>
      <c r="C614" s="140" t="s">
        <v>138</v>
      </c>
      <c r="D614" s="147"/>
      <c r="E614" s="147">
        <v>1.0811999999999999E-2</v>
      </c>
      <c r="F614" s="148">
        <v>1.1039675769230766E-2</v>
      </c>
      <c r="G614" s="148">
        <v>1.1272145864755913E-2</v>
      </c>
      <c r="H614" s="148">
        <v>1.1509511244023368E-2</v>
      </c>
    </row>
    <row r="615" spans="1:9" s="35" customFormat="1" x14ac:dyDescent="0.3"/>
    <row r="616" spans="1:9" s="35" customFormat="1" x14ac:dyDescent="0.3">
      <c r="A616" s="35" t="s">
        <v>26</v>
      </c>
      <c r="D616" s="127">
        <f t="shared" ref="D616:H617" si="60">D606</f>
        <v>0</v>
      </c>
      <c r="E616" s="127">
        <f t="shared" si="60"/>
        <v>-1.01E-2</v>
      </c>
      <c r="F616" s="127">
        <f t="shared" si="60"/>
        <v>-1.01E-2</v>
      </c>
      <c r="G616" s="127">
        <f t="shared" si="60"/>
        <v>-1.01E-2</v>
      </c>
      <c r="H616" s="127">
        <f t="shared" si="60"/>
        <v>-1.01E-2</v>
      </c>
    </row>
    <row r="617" spans="1:9" s="35" customFormat="1" x14ac:dyDescent="0.3">
      <c r="A617" s="35" t="s">
        <v>27</v>
      </c>
      <c r="D617" s="128">
        <f t="shared" si="60"/>
        <v>1.4E-2</v>
      </c>
      <c r="E617" s="128">
        <f t="shared" si="60"/>
        <v>1.4E-2</v>
      </c>
      <c r="F617" s="128">
        <f t="shared" si="60"/>
        <v>1.4E-2</v>
      </c>
      <c r="G617" s="128">
        <f t="shared" si="60"/>
        <v>1.4E-2</v>
      </c>
      <c r="H617" s="128">
        <f t="shared" si="60"/>
        <v>1.4E-2</v>
      </c>
    </row>
    <row r="618" spans="1:9" s="35" customFormat="1" x14ac:dyDescent="0.3"/>
    <row r="619" spans="1:9" s="35" customFormat="1" x14ac:dyDescent="0.3">
      <c r="A619" s="54" t="str">
        <f>Dist3</f>
        <v>SP Ausnet</v>
      </c>
    </row>
    <row r="620" spans="1:9" s="35" customFormat="1" x14ac:dyDescent="0.3">
      <c r="A620" s="35" t="str">
        <f>A610</f>
        <v>Supply charge (TUOS)</v>
      </c>
      <c r="B620" s="137" t="s">
        <v>134</v>
      </c>
      <c r="C620" s="140" t="s">
        <v>137</v>
      </c>
      <c r="D620" s="145"/>
      <c r="E620" s="145">
        <v>0</v>
      </c>
      <c r="F620" s="149">
        <f>E620*(1+inflation)*(1-F626)/(1+F627)</f>
        <v>0</v>
      </c>
      <c r="G620" s="149">
        <f>F620*(1+inflation)*(1-G626)/(1+G627)</f>
        <v>0</v>
      </c>
      <c r="H620" s="149">
        <f>G620*(1+inflation)*(1-H626)/(1+H627)</f>
        <v>0</v>
      </c>
    </row>
    <row r="621" spans="1:9" s="35" customFormat="1" x14ac:dyDescent="0.3">
      <c r="A621" s="35" t="str">
        <f>A611</f>
        <v>TUOS (1st step)</v>
      </c>
      <c r="B621" s="137" t="s">
        <v>134</v>
      </c>
      <c r="C621" s="140" t="s">
        <v>138</v>
      </c>
      <c r="D621" s="147"/>
      <c r="E621" s="147">
        <v>1.0284999999999999E-2</v>
      </c>
      <c r="F621" s="150">
        <f>E621*(1+inflation)*(1-F626)/(1+F627)</f>
        <v>1.0501578365384612E-2</v>
      </c>
      <c r="G621" s="150">
        <f>F621*(1+inflation)*(1-G626)/(1+G627)</f>
        <v>1.0722717371347999E-2</v>
      </c>
      <c r="H621" s="150">
        <f>G621*(1+inflation)*(1-H626)/(1+H627)</f>
        <v>1.0948513054456193E-2</v>
      </c>
    </row>
    <row r="622" spans="1:9" s="35" customFormat="1" x14ac:dyDescent="0.3">
      <c r="A622" s="35" t="str">
        <f>A612</f>
        <v>TUOS (2nd step)</v>
      </c>
      <c r="B622" s="137" t="s">
        <v>134</v>
      </c>
      <c r="C622" s="140" t="s">
        <v>138</v>
      </c>
      <c r="D622" s="147"/>
      <c r="E622" s="147">
        <v>1.1689999999999999E-2</v>
      </c>
      <c r="F622" s="150">
        <f>E622*(1+inflation)*(1-F626)/(1+F627)</f>
        <v>1.1936164423076922E-2</v>
      </c>
      <c r="G622" s="150">
        <f>F622*(1+inflation)*(1-G626)/(1+G627)</f>
        <v>1.2187512500832097E-2</v>
      </c>
      <c r="H622" s="150">
        <f>G622*(1+inflation)*(1-H626)/(1+H627)</f>
        <v>1.2444153389070773E-2</v>
      </c>
    </row>
    <row r="623" spans="1:9" s="35" customFormat="1" x14ac:dyDescent="0.3">
      <c r="A623" s="35" t="str">
        <f>A613</f>
        <v>TUOS (3rd step)</v>
      </c>
      <c r="B623" s="137" t="s">
        <v>134</v>
      </c>
      <c r="C623" s="140" t="s">
        <v>138</v>
      </c>
      <c r="D623" s="147"/>
      <c r="E623" s="147">
        <v>0</v>
      </c>
      <c r="F623" s="150">
        <f>E623*(1+inflation)*(1-F626)/(1+F627)</f>
        <v>0</v>
      </c>
      <c r="G623" s="150">
        <f>F623*(1+inflation)*(1-G626)/(1+G627)</f>
        <v>0</v>
      </c>
      <c r="H623" s="150">
        <f>G623*(1+inflation)*(1-H626)/(1+H627)</f>
        <v>0</v>
      </c>
    </row>
    <row r="624" spans="1:9" s="35" customFormat="1" x14ac:dyDescent="0.3">
      <c r="A624" s="35" t="str">
        <f>A614</f>
        <v>TUOS (4th step)</v>
      </c>
      <c r="B624" s="137" t="s">
        <v>134</v>
      </c>
      <c r="C624" s="140" t="s">
        <v>138</v>
      </c>
      <c r="D624" s="147"/>
      <c r="E624" s="147">
        <v>0</v>
      </c>
      <c r="F624" s="148">
        <f>E624*(1+inflation)*(1-F626)/(1+F627)</f>
        <v>0</v>
      </c>
      <c r="G624" s="148">
        <f>F624*(1+inflation)*(1-G626)/(1+G627)</f>
        <v>0</v>
      </c>
      <c r="H624" s="148">
        <f>G624*(1+inflation)*(1-H626)/(1+H627)</f>
        <v>0</v>
      </c>
    </row>
    <row r="625" spans="1:8" s="35" customFormat="1" x14ac:dyDescent="0.3"/>
    <row r="626" spans="1:8" s="35" customFormat="1" x14ac:dyDescent="0.3">
      <c r="A626" s="35" t="s">
        <v>26</v>
      </c>
      <c r="D626" s="127">
        <f t="shared" ref="D626:H627" si="61">D616</f>
        <v>0</v>
      </c>
      <c r="E626" s="127">
        <f t="shared" si="61"/>
        <v>-1.01E-2</v>
      </c>
      <c r="F626" s="127">
        <f t="shared" si="61"/>
        <v>-1.01E-2</v>
      </c>
      <c r="G626" s="127">
        <f t="shared" si="61"/>
        <v>-1.01E-2</v>
      </c>
      <c r="H626" s="127">
        <f t="shared" si="61"/>
        <v>-1.01E-2</v>
      </c>
    </row>
    <row r="627" spans="1:8" s="35" customFormat="1" x14ac:dyDescent="0.3">
      <c r="A627" s="35" t="s">
        <v>27</v>
      </c>
      <c r="D627" s="128">
        <f t="shared" si="61"/>
        <v>1.4E-2</v>
      </c>
      <c r="E627" s="128">
        <f t="shared" si="61"/>
        <v>1.4E-2</v>
      </c>
      <c r="F627" s="128">
        <f t="shared" si="61"/>
        <v>1.4E-2</v>
      </c>
      <c r="G627" s="128">
        <f t="shared" si="61"/>
        <v>1.4E-2</v>
      </c>
      <c r="H627" s="128">
        <f t="shared" si="61"/>
        <v>1.4E-2</v>
      </c>
    </row>
    <row r="628" spans="1:8" s="35" customFormat="1" x14ac:dyDescent="0.3"/>
    <row r="629" spans="1:8" s="35" customFormat="1" x14ac:dyDescent="0.3">
      <c r="A629" s="54" t="str">
        <f>Dist4</f>
        <v>United</v>
      </c>
    </row>
    <row r="630" spans="1:8" s="35" customFormat="1" x14ac:dyDescent="0.3">
      <c r="A630" s="35" t="str">
        <f>A620</f>
        <v>Supply charge (TUOS)</v>
      </c>
      <c r="B630" s="137" t="s">
        <v>134</v>
      </c>
      <c r="C630" s="140" t="s">
        <v>137</v>
      </c>
      <c r="D630" s="145"/>
      <c r="E630" s="145">
        <v>0</v>
      </c>
      <c r="F630" s="149">
        <f>E630*(1+inflation)*(1-F636)/(1+F637)</f>
        <v>0</v>
      </c>
      <c r="G630" s="149">
        <f>F630*(1+inflation)*(1-G636)/(1+G637)</f>
        <v>0</v>
      </c>
      <c r="H630" s="149">
        <f>G630*(1+inflation)*(1-H636)/(1+H637)</f>
        <v>0</v>
      </c>
    </row>
    <row r="631" spans="1:8" s="35" customFormat="1" x14ac:dyDescent="0.3">
      <c r="A631" s="35" t="str">
        <f>A621</f>
        <v>TUOS (1st step)</v>
      </c>
      <c r="B631" s="137" t="s">
        <v>134</v>
      </c>
      <c r="C631" s="140" t="s">
        <v>138</v>
      </c>
      <c r="D631" s="147"/>
      <c r="E631" s="147">
        <v>1.8499999999999999E-2</v>
      </c>
      <c r="F631" s="150">
        <f>E631*(1+inflation)*(1-F636)/(1+F637)</f>
        <v>1.8889567307692305E-2</v>
      </c>
      <c r="G631" s="150">
        <f>F631*(1+inflation)*(1-G636)/(1+G637)</f>
        <v>1.9287338003883131E-2</v>
      </c>
      <c r="H631" s="150">
        <f>G631*(1+inflation)*(1-H636)/(1+H637)</f>
        <v>1.9693484833003365E-2</v>
      </c>
    </row>
    <row r="632" spans="1:8" s="35" customFormat="1" x14ac:dyDescent="0.3">
      <c r="A632" s="35" t="str">
        <f>A622</f>
        <v>TUOS (2nd step)</v>
      </c>
      <c r="B632" s="137" t="s">
        <v>134</v>
      </c>
      <c r="C632" s="140" t="s">
        <v>138</v>
      </c>
      <c r="D632" s="147"/>
      <c r="E632" s="147">
        <v>1.5465E-2</v>
      </c>
      <c r="F632" s="150">
        <f>E632*(1+inflation)*(1-F636)/(1+F637)</f>
        <v>1.5790657211538457E-2</v>
      </c>
      <c r="G632" s="150">
        <f>F632*(1+inflation)*(1-G636)/(1+G637)</f>
        <v>1.6123172012435273E-2</v>
      </c>
      <c r="H632" s="150">
        <f>G632*(1+inflation)*(1-H636)/(1+H637)</f>
        <v>1.6462688807697128E-2</v>
      </c>
    </row>
    <row r="633" spans="1:8" s="35" customFormat="1" x14ac:dyDescent="0.3">
      <c r="A633" s="35" t="str">
        <f>A623</f>
        <v>TUOS (3rd step)</v>
      </c>
      <c r="B633" s="137" t="s">
        <v>134</v>
      </c>
      <c r="C633" s="140" t="s">
        <v>138</v>
      </c>
      <c r="D633" s="147"/>
      <c r="E633" s="147">
        <v>0</v>
      </c>
      <c r="F633" s="150">
        <f>E633*(1+inflation)*(1-F636)/(1+F637)</f>
        <v>0</v>
      </c>
      <c r="G633" s="150">
        <f>F633*(1+inflation)*(1-G636)/(1+G637)</f>
        <v>0</v>
      </c>
      <c r="H633" s="150">
        <f>G633*(1+inflation)*(1-H636)/(1+H637)</f>
        <v>0</v>
      </c>
    </row>
    <row r="634" spans="1:8" s="35" customFormat="1" x14ac:dyDescent="0.3">
      <c r="A634" s="35" t="str">
        <f>A624</f>
        <v>TUOS (4th step)</v>
      </c>
      <c r="B634" s="137" t="s">
        <v>134</v>
      </c>
      <c r="C634" s="140" t="s">
        <v>138</v>
      </c>
      <c r="D634" s="147"/>
      <c r="E634" s="147">
        <v>0</v>
      </c>
      <c r="F634" s="148">
        <f>E634*(1+inflation)*(1-F636)/(1+F637)</f>
        <v>0</v>
      </c>
      <c r="G634" s="148">
        <f>F634*(1+inflation)*(1-G636)/(1+G637)</f>
        <v>0</v>
      </c>
      <c r="H634" s="148">
        <f>G634*(1+inflation)*(1-H636)/(1+H637)</f>
        <v>0</v>
      </c>
    </row>
    <row r="635" spans="1:8" s="35" customFormat="1" x14ac:dyDescent="0.3"/>
    <row r="636" spans="1:8" s="35" customFormat="1" x14ac:dyDescent="0.3">
      <c r="A636" s="35" t="s">
        <v>26</v>
      </c>
      <c r="D636" s="127">
        <f t="shared" ref="D636:H637" si="62">D626</f>
        <v>0</v>
      </c>
      <c r="E636" s="127">
        <f t="shared" si="62"/>
        <v>-1.01E-2</v>
      </c>
      <c r="F636" s="127">
        <f t="shared" si="62"/>
        <v>-1.01E-2</v>
      </c>
      <c r="G636" s="127">
        <f t="shared" si="62"/>
        <v>-1.01E-2</v>
      </c>
      <c r="H636" s="127">
        <f t="shared" si="62"/>
        <v>-1.01E-2</v>
      </c>
    </row>
    <row r="637" spans="1:8" s="35" customFormat="1" x14ac:dyDescent="0.3">
      <c r="A637" s="35" t="s">
        <v>27</v>
      </c>
      <c r="D637" s="128">
        <f t="shared" si="62"/>
        <v>1.4E-2</v>
      </c>
      <c r="E637" s="128">
        <f t="shared" si="62"/>
        <v>1.4E-2</v>
      </c>
      <c r="F637" s="128">
        <f t="shared" si="62"/>
        <v>1.4E-2</v>
      </c>
      <c r="G637" s="128">
        <f t="shared" si="62"/>
        <v>1.4E-2</v>
      </c>
      <c r="H637" s="128">
        <f t="shared" si="62"/>
        <v>1.4E-2</v>
      </c>
    </row>
    <row r="638" spans="1:8" s="35" customFormat="1" x14ac:dyDescent="0.3"/>
    <row r="639" spans="1:8" s="35" customFormat="1" x14ac:dyDescent="0.3">
      <c r="A639" s="54" t="str">
        <f>Dist5</f>
        <v>Jemena</v>
      </c>
    </row>
    <row r="640" spans="1:8" s="35" customFormat="1" x14ac:dyDescent="0.3">
      <c r="A640" s="35" t="str">
        <f>A630</f>
        <v>Supply charge (TUOS)</v>
      </c>
      <c r="B640" s="137" t="s">
        <v>134</v>
      </c>
      <c r="C640" s="140" t="s">
        <v>137</v>
      </c>
      <c r="D640" s="145"/>
      <c r="E640" s="145">
        <v>3.2850000000000001</v>
      </c>
      <c r="F640" s="149">
        <f>E640*(1+inflation)*(1-F646)/(1+F647)</f>
        <v>3.354174519230769</v>
      </c>
      <c r="G640" s="149">
        <f>F640*(1+inflation)*(1-G646)/(1+G647)</f>
        <v>3.424805694203032</v>
      </c>
      <c r="H640" s="149">
        <f>G640*(1+inflation)*(1-H646)/(1+H647)</f>
        <v>3.4969241987251913</v>
      </c>
    </row>
    <row r="641" spans="1:8" s="35" customFormat="1" x14ac:dyDescent="0.3">
      <c r="A641" s="35" t="str">
        <f>A631</f>
        <v>TUOS (1st step)</v>
      </c>
      <c r="B641" s="137" t="s">
        <v>134</v>
      </c>
      <c r="C641" s="140" t="s">
        <v>138</v>
      </c>
      <c r="D641" s="147"/>
      <c r="E641" s="147">
        <v>9.3379999999999991E-3</v>
      </c>
      <c r="F641" s="150">
        <f>E641*(1+inflation)*(1-F646)/(1+F647)</f>
        <v>9.534636730769229E-3</v>
      </c>
      <c r="G641" s="150">
        <f>F641*(1+inflation)*(1-G646)/(1+G647)</f>
        <v>9.7354141773113873E-3</v>
      </c>
      <c r="H641" s="150">
        <f>G641*(1+inflation)*(1-H646)/(1+H647)</f>
        <v>9.9404195335451549E-3</v>
      </c>
    </row>
    <row r="642" spans="1:8" s="35" customFormat="1" x14ac:dyDescent="0.3">
      <c r="A642" s="35" t="str">
        <f>A632</f>
        <v>TUOS (2nd step)</v>
      </c>
      <c r="B642" s="137" t="s">
        <v>134</v>
      </c>
      <c r="C642" s="140" t="s">
        <v>138</v>
      </c>
      <c r="D642" s="147"/>
      <c r="E642" s="147">
        <v>0</v>
      </c>
      <c r="F642" s="150">
        <f>E642*(1+inflation)*(1-F646)/(1+F647)</f>
        <v>0</v>
      </c>
      <c r="G642" s="150">
        <f>F642*(1+inflation)*(1-G646)/(1+G647)</f>
        <v>0</v>
      </c>
      <c r="H642" s="150">
        <f>G642*(1+inflation)*(1-H646)/(1+H647)</f>
        <v>0</v>
      </c>
    </row>
    <row r="643" spans="1:8" s="35" customFormat="1" x14ac:dyDescent="0.3">
      <c r="A643" s="35" t="str">
        <f>A633</f>
        <v>TUOS (3rd step)</v>
      </c>
      <c r="B643" s="137" t="s">
        <v>134</v>
      </c>
      <c r="C643" s="140" t="s">
        <v>138</v>
      </c>
      <c r="D643" s="147"/>
      <c r="E643" s="147">
        <v>0</v>
      </c>
      <c r="F643" s="150">
        <f>E643*(1+inflation)*(1-F646)/(1+F647)</f>
        <v>0</v>
      </c>
      <c r="G643" s="150">
        <f>F643*(1+inflation)*(1-G646)/(1+G647)</f>
        <v>0</v>
      </c>
      <c r="H643" s="150">
        <f>G643*(1+inflation)*(1-H646)/(1+H647)</f>
        <v>0</v>
      </c>
    </row>
    <row r="644" spans="1:8" s="35" customFormat="1" x14ac:dyDescent="0.3">
      <c r="A644" s="35" t="str">
        <f>A634</f>
        <v>TUOS (4th step)</v>
      </c>
      <c r="B644" s="137" t="s">
        <v>134</v>
      </c>
      <c r="C644" s="140" t="s">
        <v>138</v>
      </c>
      <c r="D644" s="147"/>
      <c r="E644" s="147">
        <v>0</v>
      </c>
      <c r="F644" s="148">
        <f>E644*(1+inflation)*(1-F646)/(1+F647)</f>
        <v>0</v>
      </c>
      <c r="G644" s="148">
        <f>F644*(1+inflation)*(1-G646)/(1+G647)</f>
        <v>0</v>
      </c>
      <c r="H644" s="148">
        <f>G644*(1+inflation)*(1-H646)/(1+H647)</f>
        <v>0</v>
      </c>
    </row>
    <row r="645" spans="1:8" s="35" customFormat="1" x14ac:dyDescent="0.3"/>
    <row r="646" spans="1:8" s="35" customFormat="1" x14ac:dyDescent="0.3">
      <c r="A646" s="35" t="s">
        <v>26</v>
      </c>
      <c r="D646" s="127">
        <f t="shared" ref="D646:H647" si="63">D636</f>
        <v>0</v>
      </c>
      <c r="E646" s="127">
        <f t="shared" si="63"/>
        <v>-1.01E-2</v>
      </c>
      <c r="F646" s="127">
        <f t="shared" si="63"/>
        <v>-1.01E-2</v>
      </c>
      <c r="G646" s="127">
        <f t="shared" si="63"/>
        <v>-1.01E-2</v>
      </c>
      <c r="H646" s="127">
        <f t="shared" si="63"/>
        <v>-1.01E-2</v>
      </c>
    </row>
    <row r="647" spans="1:8" s="35" customFormat="1" x14ac:dyDescent="0.3">
      <c r="A647" s="35" t="s">
        <v>27</v>
      </c>
      <c r="D647" s="128">
        <f t="shared" si="63"/>
        <v>1.4E-2</v>
      </c>
      <c r="E647" s="128">
        <f t="shared" si="63"/>
        <v>1.4E-2</v>
      </c>
      <c r="F647" s="128">
        <f t="shared" si="63"/>
        <v>1.4E-2</v>
      </c>
      <c r="G647" s="128">
        <f t="shared" si="63"/>
        <v>1.4E-2</v>
      </c>
      <c r="H647" s="128">
        <f t="shared" si="63"/>
        <v>1.4E-2</v>
      </c>
    </row>
    <row r="648" spans="1:8" s="35" customFormat="1" x14ac:dyDescent="0.3"/>
    <row r="649" spans="1:8" s="35" customFormat="1" x14ac:dyDescent="0.3">
      <c r="A649" s="46" t="s">
        <v>29</v>
      </c>
    </row>
    <row r="650" spans="1:8" s="35" customFormat="1" x14ac:dyDescent="0.3">
      <c r="A650" s="54" t="str">
        <f>Dist1</f>
        <v>Citipower</v>
      </c>
    </row>
    <row r="651" spans="1:8" s="35" customFormat="1" x14ac:dyDescent="0.3">
      <c r="A651" s="40" t="s">
        <v>64</v>
      </c>
      <c r="B651" s="137" t="s">
        <v>134</v>
      </c>
      <c r="C651" s="140" t="s">
        <v>137</v>
      </c>
      <c r="D651" s="145"/>
      <c r="E651" s="145">
        <v>16.484999999999999</v>
      </c>
      <c r="F651" s="146">
        <f>E651*(1+inflation)*(1-F657)</f>
        <v>18.042750075000001</v>
      </c>
      <c r="G651" s="146">
        <f>F651*(1+inflation)*(1-G657)</f>
        <v>19.936336695371249</v>
      </c>
      <c r="H651" s="146">
        <f>G651*(1+inflation)*(1-H657)</f>
        <v>22.028655231550463</v>
      </c>
    </row>
    <row r="652" spans="1:8" s="35" customFormat="1" x14ac:dyDescent="0.3">
      <c r="A652" s="40" t="s">
        <v>69</v>
      </c>
      <c r="B652" s="137" t="s">
        <v>134</v>
      </c>
      <c r="C652" s="140" t="s">
        <v>138</v>
      </c>
      <c r="D652" s="147"/>
      <c r="E652" s="147">
        <v>4.0120500000000003E-2</v>
      </c>
      <c r="F652" s="148">
        <f>E652*(1+inflation)*(1-F657)</f>
        <v>4.3911686647500003E-2</v>
      </c>
      <c r="G652" s="148">
        <f>F652*(1+inflation)*(1-G657)</f>
        <v>4.8520218161155128E-2</v>
      </c>
      <c r="H652" s="148">
        <f>G652*(1+inflation)*(1-H657)</f>
        <v>5.3612415057168357E-2</v>
      </c>
    </row>
    <row r="653" spans="1:8" s="35" customFormat="1" x14ac:dyDescent="0.3">
      <c r="A653" s="40" t="s">
        <v>70</v>
      </c>
      <c r="B653" s="137" t="s">
        <v>134</v>
      </c>
      <c r="C653" s="140" t="s">
        <v>138</v>
      </c>
      <c r="D653" s="147"/>
      <c r="E653" s="147">
        <v>5.5162500000000003E-2</v>
      </c>
      <c r="F653" s="148">
        <f>E653*(1+inflation)*(1-F657)</f>
        <v>6.0375080437499999E-2</v>
      </c>
      <c r="G653" s="148">
        <f>F653*(1+inflation)*(1-G657)</f>
        <v>6.6711445129415625E-2</v>
      </c>
      <c r="H653" s="148">
        <f>G653*(1+inflation)*(1-H657)</f>
        <v>7.371281129574779E-2</v>
      </c>
    </row>
    <row r="654" spans="1:8" s="35" customFormat="1" x14ac:dyDescent="0.3">
      <c r="A654" s="40" t="s">
        <v>79</v>
      </c>
      <c r="B654" s="137" t="s">
        <v>134</v>
      </c>
      <c r="C654" s="140" t="s">
        <v>138</v>
      </c>
      <c r="D654" s="147"/>
      <c r="E654" s="147">
        <v>0</v>
      </c>
      <c r="F654" s="148">
        <f>E654*(1+inflation)*(1-F657)</f>
        <v>0</v>
      </c>
      <c r="G654" s="148">
        <f>F654*(1+inflation)*(1-G657)</f>
        <v>0</v>
      </c>
      <c r="H654" s="148">
        <f>G654*(1+inflation)*(1-H657)</f>
        <v>0</v>
      </c>
    </row>
    <row r="655" spans="1:8" s="35" customFormat="1" x14ac:dyDescent="0.3">
      <c r="A655" s="40" t="s">
        <v>87</v>
      </c>
      <c r="B655" s="137" t="s">
        <v>134</v>
      </c>
      <c r="C655" s="140" t="s">
        <v>138</v>
      </c>
      <c r="D655" s="147"/>
      <c r="E655" s="147">
        <v>0</v>
      </c>
      <c r="F655" s="148">
        <f>E655*(1+inflation)*(1-F657)</f>
        <v>0</v>
      </c>
      <c r="G655" s="148">
        <f>F655*(1+inflation)*(1-G657)</f>
        <v>0</v>
      </c>
      <c r="H655" s="148">
        <f>G655*(1+inflation)*(1-H657)</f>
        <v>0</v>
      </c>
    </row>
    <row r="656" spans="1:8" s="35" customFormat="1" x14ac:dyDescent="0.3"/>
    <row r="657" spans="1:8" s="35" customFormat="1" x14ac:dyDescent="0.3">
      <c r="A657" s="35" t="s">
        <v>26</v>
      </c>
      <c r="E657" s="128">
        <f>'Input Global'!E41</f>
        <v>-0.04</v>
      </c>
      <c r="F657" s="128">
        <f>'Input Global'!F41</f>
        <v>-6.7799999999999999E-2</v>
      </c>
      <c r="G657" s="128">
        <f>'Input Global'!G41</f>
        <v>-7.8E-2</v>
      </c>
      <c r="H657" s="128">
        <f>'Input Global'!H41</f>
        <v>-7.8E-2</v>
      </c>
    </row>
    <row r="658" spans="1:8" s="35" customFormat="1" x14ac:dyDescent="0.3"/>
    <row r="659" spans="1:8" s="35" customFormat="1" x14ac:dyDescent="0.3">
      <c r="A659" s="54" t="str">
        <f>Dist2</f>
        <v>Powercor</v>
      </c>
    </row>
    <row r="660" spans="1:8" s="35" customFormat="1" x14ac:dyDescent="0.3">
      <c r="A660" s="40" t="str">
        <f>A651</f>
        <v>Supply charge (DUOS)</v>
      </c>
      <c r="B660" s="137" t="s">
        <v>134</v>
      </c>
      <c r="C660" s="140" t="s">
        <v>137</v>
      </c>
      <c r="D660" s="145"/>
      <c r="E660" s="145">
        <v>27.384349999999998</v>
      </c>
      <c r="F660" s="146">
        <f>E660*(1+inflation)*(1-F666)</f>
        <v>29.854144526500001</v>
      </c>
      <c r="G660" s="146">
        <f>F660*(1+inflation)*(1-G666)</f>
        <v>32.650731515019885</v>
      </c>
      <c r="H660" s="146">
        <f>G660*(1+inflation)*(1-H666)</f>
        <v>35.876623788703853</v>
      </c>
    </row>
    <row r="661" spans="1:8" s="35" customFormat="1" x14ac:dyDescent="0.3">
      <c r="A661" s="40" t="str">
        <f>A652</f>
        <v>DUOS (1st step)</v>
      </c>
      <c r="B661" s="137" t="s">
        <v>134</v>
      </c>
      <c r="C661" s="140" t="s">
        <v>138</v>
      </c>
      <c r="D661" s="145"/>
      <c r="E661" s="147">
        <v>5.8200500000000002E-2</v>
      </c>
      <c r="F661" s="148">
        <f>E661*(1+inflation)*(1-F666)</f>
        <v>6.3449603095000001E-2</v>
      </c>
      <c r="G661" s="148">
        <f>F661*(1+inflation)*(1-G666)</f>
        <v>6.9393244664924122E-2</v>
      </c>
      <c r="H661" s="148">
        <f>G661*(1+inflation)*(1-H666)</f>
        <v>7.624929723781862E-2</v>
      </c>
    </row>
    <row r="662" spans="1:8" s="35" customFormat="1" x14ac:dyDescent="0.3">
      <c r="A662" s="40" t="str">
        <f>A653</f>
        <v>DUOS (2nd step)</v>
      </c>
      <c r="B662" s="137" t="s">
        <v>134</v>
      </c>
      <c r="C662" s="140" t="s">
        <v>138</v>
      </c>
      <c r="D662" s="145"/>
      <c r="E662" s="147">
        <v>7.0288000000000003E-2</v>
      </c>
      <c r="F662" s="148">
        <f>E662*(1+inflation)*(1-F666)</f>
        <v>7.6627274720000013E-2</v>
      </c>
      <c r="G662" s="148">
        <f>F662*(1+inflation)*(1-G666)</f>
        <v>8.3805334679396007E-2</v>
      </c>
      <c r="H662" s="148">
        <f>G662*(1+inflation)*(1-H666)</f>
        <v>9.2085301745720327E-2</v>
      </c>
    </row>
    <row r="663" spans="1:8" s="35" customFormat="1" x14ac:dyDescent="0.3">
      <c r="A663" s="40" t="str">
        <f>A654</f>
        <v>DUOS (3rd step)</v>
      </c>
      <c r="B663" s="137" t="s">
        <v>134</v>
      </c>
      <c r="C663" s="140" t="s">
        <v>138</v>
      </c>
      <c r="D663" s="145"/>
      <c r="E663" s="147">
        <v>8.0656499999999992E-2</v>
      </c>
      <c r="F663" s="148">
        <f>E663*(1+inflation)*(1-F666)</f>
        <v>8.7930909734999993E-2</v>
      </c>
      <c r="G663" s="148">
        <f>F663*(1+inflation)*(1-G666)</f>
        <v>9.6167837704426093E-2</v>
      </c>
      <c r="H663" s="148">
        <f>G663*(1+inflation)*(1-H666)</f>
        <v>0.10566922006962338</v>
      </c>
    </row>
    <row r="664" spans="1:8" s="35" customFormat="1" x14ac:dyDescent="0.3">
      <c r="A664" s="40" t="str">
        <f>A655</f>
        <v>DUOS (4th step)</v>
      </c>
      <c r="B664" s="137" t="s">
        <v>134</v>
      </c>
      <c r="C664" s="140" t="s">
        <v>138</v>
      </c>
      <c r="D664" s="145"/>
      <c r="E664" s="147">
        <v>9.102650000000001E-2</v>
      </c>
      <c r="F664" s="148">
        <f>E664*(1+inflation)*(1-F666)</f>
        <v>9.9236180035000024E-2</v>
      </c>
      <c r="G664" s="148">
        <f>F664*(1+inflation)*(1-G666)</f>
        <v>0.10853212919977863</v>
      </c>
      <c r="H664" s="148">
        <f>G664*(1+inflation)*(1-H666)</f>
        <v>0.11925510356471675</v>
      </c>
    </row>
    <row r="665" spans="1:8" s="35" customFormat="1" x14ac:dyDescent="0.3"/>
    <row r="666" spans="1:8" s="35" customFormat="1" x14ac:dyDescent="0.3">
      <c r="A666" s="35" t="s">
        <v>26</v>
      </c>
      <c r="E666" s="128">
        <f>'Input Global'!E42</f>
        <v>-0.03</v>
      </c>
      <c r="F666" s="128">
        <f>'Input Global'!F42</f>
        <v>-6.3600000000000004E-2</v>
      </c>
      <c r="G666" s="128">
        <f>'Input Global'!G42</f>
        <v>-6.7000000000000004E-2</v>
      </c>
      <c r="H666" s="128">
        <f>'Input Global'!H42</f>
        <v>-7.1999999999999995E-2</v>
      </c>
    </row>
    <row r="667" spans="1:8" s="35" customFormat="1" x14ac:dyDescent="0.3"/>
    <row r="668" spans="1:8" s="35" customFormat="1" x14ac:dyDescent="0.3">
      <c r="A668" s="54" t="str">
        <f>Dist3</f>
        <v>SP Ausnet</v>
      </c>
    </row>
    <row r="669" spans="1:8" s="35" customFormat="1" x14ac:dyDescent="0.3">
      <c r="A669" s="40" t="str">
        <f>A660</f>
        <v>Supply charge (DUOS)</v>
      </c>
      <c r="B669" s="137" t="s">
        <v>134</v>
      </c>
      <c r="C669" s="140" t="s">
        <v>137</v>
      </c>
      <c r="D669" s="145"/>
      <c r="E669" s="145">
        <v>6.37</v>
      </c>
      <c r="F669" s="146">
        <f>E669*(1+inflation)*(1-F675)</f>
        <v>6.8700768499999993</v>
      </c>
      <c r="G669" s="146">
        <f>F669*(1+inflation)*(1-G675)</f>
        <v>7.4713803262962486</v>
      </c>
      <c r="H669" s="146">
        <f>G669*(1+inflation)*(1-H675)</f>
        <v>8.1253128893553264</v>
      </c>
    </row>
    <row r="670" spans="1:8" s="35" customFormat="1" x14ac:dyDescent="0.3">
      <c r="A670" s="40" t="str">
        <f>A661</f>
        <v>DUOS (1st step)</v>
      </c>
      <c r="B670" s="137" t="s">
        <v>134</v>
      </c>
      <c r="C670" s="140" t="s">
        <v>138</v>
      </c>
      <c r="D670" s="145"/>
      <c r="E670" s="147">
        <v>7.3605000000000004E-2</v>
      </c>
      <c r="F670" s="148">
        <f>E670*(1+inflation)*(1-F675)</f>
        <v>7.9383360525000002E-2</v>
      </c>
      <c r="G670" s="148">
        <f>F670*(1+inflation)*(1-G675)</f>
        <v>8.6331389154950616E-2</v>
      </c>
      <c r="H670" s="148">
        <f>G670*(1+inflation)*(1-H675)</f>
        <v>9.3887543990737662E-2</v>
      </c>
    </row>
    <row r="671" spans="1:8" s="35" customFormat="1" x14ac:dyDescent="0.3">
      <c r="A671" s="40" t="str">
        <f>A662</f>
        <v>DUOS (2nd step)</v>
      </c>
      <c r="B671" s="137" t="s">
        <v>134</v>
      </c>
      <c r="C671" s="140" t="s">
        <v>138</v>
      </c>
      <c r="D671" s="145"/>
      <c r="E671" s="147">
        <v>6.7909999999999998E-2</v>
      </c>
      <c r="F671" s="148">
        <f>E671*(1+inflation)*(1-F675)</f>
        <v>7.3241274549999999E-2</v>
      </c>
      <c r="G671" s="148">
        <f>F671*(1+inflation)*(1-G675)</f>
        <v>7.9651717104988737E-2</v>
      </c>
      <c r="H671" s="148">
        <f>G671*(1+inflation)*(1-H675)</f>
        <v>8.6623233644602851E-2</v>
      </c>
    </row>
    <row r="672" spans="1:8" s="35" customFormat="1" x14ac:dyDescent="0.3">
      <c r="A672" s="40" t="str">
        <f>A663</f>
        <v>DUOS (3rd step)</v>
      </c>
      <c r="B672" s="137" t="s">
        <v>134</v>
      </c>
      <c r="C672" s="140" t="s">
        <v>138</v>
      </c>
      <c r="D672" s="145"/>
      <c r="E672" s="147">
        <v>0</v>
      </c>
      <c r="F672" s="148">
        <f>E672*(1+inflation)*(1-F675)</f>
        <v>0</v>
      </c>
      <c r="G672" s="148">
        <f>F672*(1+inflation)*(1-G675)</f>
        <v>0</v>
      </c>
      <c r="H672" s="148">
        <f>G672*(1+inflation)*(1-H675)</f>
        <v>0</v>
      </c>
    </row>
    <row r="673" spans="1:8" s="35" customFormat="1" x14ac:dyDescent="0.3">
      <c r="A673" s="40" t="str">
        <f>A664</f>
        <v>DUOS (4th step)</v>
      </c>
      <c r="B673" s="137" t="s">
        <v>134</v>
      </c>
      <c r="C673" s="140" t="s">
        <v>138</v>
      </c>
      <c r="D673" s="145"/>
      <c r="E673" s="147">
        <v>0</v>
      </c>
      <c r="F673" s="148">
        <f>E673*(1+inflation)*(1-F675)</f>
        <v>0</v>
      </c>
      <c r="G673" s="148">
        <f>F673*(1+inflation)*(1-G675)</f>
        <v>0</v>
      </c>
      <c r="H673" s="148">
        <f>G673*(1+inflation)*(1-H675)</f>
        <v>0</v>
      </c>
    </row>
    <row r="674" spans="1:8" s="35" customFormat="1" x14ac:dyDescent="0.3"/>
    <row r="675" spans="1:8" s="35" customFormat="1" x14ac:dyDescent="0.3">
      <c r="A675" s="35" t="s">
        <v>26</v>
      </c>
      <c r="E675" s="128">
        <f>'Input Global'!E43</f>
        <v>-0.04</v>
      </c>
      <c r="F675" s="128">
        <f>'Input Global'!F43</f>
        <v>-5.2200000000000003E-2</v>
      </c>
      <c r="G675" s="128">
        <f>'Input Global'!G43</f>
        <v>-6.0999999999999999E-2</v>
      </c>
      <c r="H675" s="128">
        <f>'Input Global'!H43</f>
        <v>-6.0999999999999999E-2</v>
      </c>
    </row>
    <row r="676" spans="1:8" s="35" customFormat="1" x14ac:dyDescent="0.3"/>
    <row r="677" spans="1:8" s="35" customFormat="1" x14ac:dyDescent="0.3">
      <c r="A677" s="54" t="str">
        <f>Dist4</f>
        <v>United</v>
      </c>
    </row>
    <row r="678" spans="1:8" s="35" customFormat="1" x14ac:dyDescent="0.3">
      <c r="A678" s="40" t="str">
        <f>A669</f>
        <v>Supply charge (DUOS)</v>
      </c>
      <c r="B678" s="137" t="s">
        <v>134</v>
      </c>
      <c r="C678" s="140" t="s">
        <v>137</v>
      </c>
      <c r="D678" s="145"/>
      <c r="E678" s="145">
        <v>27.355899999999998</v>
      </c>
      <c r="F678" s="146">
        <f>E678*(1+inflation)*(1-F684)</f>
        <v>29.713773410749997</v>
      </c>
      <c r="G678" s="146">
        <f>F678*(1+inflation)*(1-G684)</f>
        <v>33.502279520620618</v>
      </c>
      <c r="H678" s="146">
        <f>G678*(1+inflation)*(1-H684)</f>
        <v>37.773820159499749</v>
      </c>
    </row>
    <row r="679" spans="1:8" s="35" customFormat="1" x14ac:dyDescent="0.3">
      <c r="A679" s="40" t="str">
        <f>A670</f>
        <v>DUOS (1st step)</v>
      </c>
      <c r="B679" s="137" t="s">
        <v>134</v>
      </c>
      <c r="C679" s="140" t="s">
        <v>138</v>
      </c>
      <c r="D679" s="145"/>
      <c r="E679" s="147">
        <v>6.8135000000000001E-2</v>
      </c>
      <c r="F679" s="148">
        <f>E679*(1+inflation)*(1-F684)</f>
        <v>7.4007725987499995E-2</v>
      </c>
      <c r="G679" s="148">
        <f>F679*(1+inflation)*(1-G684)</f>
        <v>8.3443711050906255E-2</v>
      </c>
      <c r="H679" s="148">
        <f>G679*(1+inflation)*(1-H684)</f>
        <v>9.4082784209896811E-2</v>
      </c>
    </row>
    <row r="680" spans="1:8" s="35" customFormat="1" x14ac:dyDescent="0.3">
      <c r="A680" s="40" t="str">
        <f>A671</f>
        <v>DUOS (2nd step)</v>
      </c>
      <c r="B680" s="137" t="s">
        <v>134</v>
      </c>
      <c r="C680" s="140" t="s">
        <v>138</v>
      </c>
      <c r="D680" s="145"/>
      <c r="E680" s="147">
        <v>4.3865000000000001E-2</v>
      </c>
      <c r="F680" s="148">
        <f>E680*(1+inflation)*(1-F684)</f>
        <v>4.7645834012499999E-2</v>
      </c>
      <c r="G680" s="148">
        <f>F680*(1+inflation)*(1-G684)</f>
        <v>5.3720677849093755E-2</v>
      </c>
      <c r="H680" s="148">
        <f>G680*(1+inflation)*(1-H684)</f>
        <v>6.0570064274853209E-2</v>
      </c>
    </row>
    <row r="681" spans="1:8" s="35" customFormat="1" x14ac:dyDescent="0.3">
      <c r="A681" s="40" t="str">
        <f>A672</f>
        <v>DUOS (3rd step)</v>
      </c>
      <c r="B681" s="137" t="s">
        <v>134</v>
      </c>
      <c r="C681" s="140" t="s">
        <v>138</v>
      </c>
      <c r="D681" s="145"/>
      <c r="E681" s="147">
        <v>0</v>
      </c>
      <c r="F681" s="148">
        <f>E681*(1+inflation)*(1-F684)</f>
        <v>0</v>
      </c>
      <c r="G681" s="148">
        <f>F681*(1+inflation)*(1-G684)</f>
        <v>0</v>
      </c>
      <c r="H681" s="148">
        <f>G681*(1+inflation)*(1-H684)</f>
        <v>0</v>
      </c>
    </row>
    <row r="682" spans="1:8" s="35" customFormat="1" x14ac:dyDescent="0.3">
      <c r="A682" s="40" t="str">
        <f>A673</f>
        <v>DUOS (4th step)</v>
      </c>
      <c r="B682" s="137" t="s">
        <v>134</v>
      </c>
      <c r="C682" s="140" t="s">
        <v>138</v>
      </c>
      <c r="D682" s="145"/>
      <c r="E682" s="147">
        <v>0</v>
      </c>
      <c r="F682" s="148">
        <f>E682*(1+inflation)*(1-F684)</f>
        <v>0</v>
      </c>
      <c r="G682" s="148">
        <f>F682*(1+inflation)*(1-G684)</f>
        <v>0</v>
      </c>
      <c r="H682" s="148">
        <f>G682*(1+inflation)*(1-H684)</f>
        <v>0</v>
      </c>
    </row>
    <row r="683" spans="1:8" s="35" customFormat="1" x14ac:dyDescent="0.3"/>
    <row r="684" spans="1:8" s="35" customFormat="1" x14ac:dyDescent="0.3">
      <c r="A684" s="35" t="s">
        <v>26</v>
      </c>
      <c r="E684" s="128">
        <f>'Input Global'!E44</f>
        <v>-0.01</v>
      </c>
      <c r="F684" s="128">
        <f>'Input Global'!F44</f>
        <v>-5.9700000000000003E-2</v>
      </c>
      <c r="G684" s="128">
        <f>'Input Global'!G44</f>
        <v>-0.1</v>
      </c>
      <c r="H684" s="128">
        <f>'Input Global'!H44</f>
        <v>-0.1</v>
      </c>
    </row>
    <row r="685" spans="1:8" s="35" customFormat="1" x14ac:dyDescent="0.3"/>
    <row r="686" spans="1:8" s="35" customFormat="1" x14ac:dyDescent="0.3">
      <c r="A686" s="54" t="str">
        <f>Dist5</f>
        <v>Jemena</v>
      </c>
    </row>
    <row r="687" spans="1:8" s="35" customFormat="1" x14ac:dyDescent="0.3">
      <c r="A687" s="40" t="str">
        <f>A678</f>
        <v>Supply charge (DUOS)</v>
      </c>
      <c r="B687" s="137" t="s">
        <v>134</v>
      </c>
      <c r="C687" s="140" t="s">
        <v>137</v>
      </c>
      <c r="D687" s="145"/>
      <c r="E687" s="145">
        <v>27.265000000000001</v>
      </c>
      <c r="F687" s="146">
        <f>E687*(1+inflation)*(1-F693)/(1+F694)</f>
        <v>30.173971012499994</v>
      </c>
      <c r="G687" s="146">
        <f>F687*(1+inflation)*(1-G693)/(1+G694)</f>
        <v>33.247944309398427</v>
      </c>
      <c r="H687" s="146">
        <f>G687*(1+inflation)*(1-H693)/(1+H694)</f>
        <v>35.237833776315917</v>
      </c>
    </row>
    <row r="688" spans="1:8" s="35" customFormat="1" x14ac:dyDescent="0.3">
      <c r="A688" s="40" t="str">
        <f>A679</f>
        <v>DUOS (1st step)</v>
      </c>
      <c r="B688" s="137" t="s">
        <v>134</v>
      </c>
      <c r="C688" s="140" t="s">
        <v>138</v>
      </c>
      <c r="D688" s="145"/>
      <c r="E688" s="147">
        <v>6.2007E-2</v>
      </c>
      <c r="F688" s="148">
        <f>E688*(1+inflation)*(1-F693)/(1+F694)</f>
        <v>6.8622681847499992E-2</v>
      </c>
      <c r="G688" s="148">
        <f>F688*(1+inflation)*(1-G693)/(1+G694)</f>
        <v>7.5613617560714053E-2</v>
      </c>
      <c r="H688" s="148">
        <f>G688*(1+inflation)*(1-H693)/(1+H694)</f>
        <v>8.0139092571722775E-2</v>
      </c>
    </row>
    <row r="689" spans="1:8" s="35" customFormat="1" x14ac:dyDescent="0.3">
      <c r="A689" s="40" t="str">
        <f>A680</f>
        <v>DUOS (2nd step)</v>
      </c>
      <c r="B689" s="137" t="s">
        <v>134</v>
      </c>
      <c r="C689" s="140" t="s">
        <v>138</v>
      </c>
      <c r="D689" s="145"/>
      <c r="E689" s="147">
        <v>0</v>
      </c>
      <c r="F689" s="148">
        <f>E689*(1+inflation)*(1-F693)/(1+F694)</f>
        <v>0</v>
      </c>
      <c r="G689" s="148">
        <f>F689*(1+inflation)*(1-G693)/(1+G694)</f>
        <v>0</v>
      </c>
      <c r="H689" s="148">
        <f>G689*(1+inflation)*(1-H693)/(1+H694)</f>
        <v>0</v>
      </c>
    </row>
    <row r="690" spans="1:8" s="35" customFormat="1" x14ac:dyDescent="0.3">
      <c r="A690" s="40" t="str">
        <f>A681</f>
        <v>DUOS (3rd step)</v>
      </c>
      <c r="B690" s="137" t="s">
        <v>134</v>
      </c>
      <c r="C690" s="140" t="s">
        <v>138</v>
      </c>
      <c r="D690" s="145"/>
      <c r="E690" s="147">
        <v>0</v>
      </c>
      <c r="F690" s="148">
        <f>E690*(1+inflation)*(1-F693)/(1+F694)</f>
        <v>0</v>
      </c>
      <c r="G690" s="148">
        <f>F690*(1+inflation)*(1-G693)/(1+G694)</f>
        <v>0</v>
      </c>
      <c r="H690" s="148">
        <f>G690*(1+inflation)*(1-H693)/(1+H694)</f>
        <v>0</v>
      </c>
    </row>
    <row r="691" spans="1:8" s="35" customFormat="1" x14ac:dyDescent="0.3">
      <c r="A691" s="40" t="str">
        <f>A682</f>
        <v>DUOS (4th step)</v>
      </c>
      <c r="B691" s="137" t="s">
        <v>134</v>
      </c>
      <c r="C691" s="140" t="s">
        <v>138</v>
      </c>
      <c r="D691" s="145"/>
      <c r="E691" s="147">
        <v>0</v>
      </c>
      <c r="F691" s="148">
        <f>E691*(1+inflation)*(1-F693)/(1+F694)</f>
        <v>0</v>
      </c>
      <c r="G691" s="148">
        <f>F691*(1+inflation)*(1-G693)/(1+G694)</f>
        <v>0</v>
      </c>
      <c r="H691" s="148">
        <f>G691*(1+inflation)*(1-H693)/(1+H694)</f>
        <v>0</v>
      </c>
    </row>
    <row r="692" spans="1:8" s="35" customFormat="1" x14ac:dyDescent="0.3"/>
    <row r="693" spans="1:8" s="35" customFormat="1" x14ac:dyDescent="0.3">
      <c r="A693" s="35" t="s">
        <v>26</v>
      </c>
      <c r="E693" s="128">
        <f>'Input Global'!E45</f>
        <v>-0.03</v>
      </c>
      <c r="F693" s="128">
        <f>'Input Global'!F45</f>
        <v>-7.9699999999999993E-2</v>
      </c>
      <c r="G693" s="128">
        <f>'Input Global'!G45</f>
        <v>-7.4999999999999997E-2</v>
      </c>
      <c r="H693" s="128">
        <f>'Input Global'!H45</f>
        <v>-3.4000000000000002E-2</v>
      </c>
    </row>
    <row r="694" spans="1:8" s="35" customFormat="1" x14ac:dyDescent="0.3"/>
    <row r="695" spans="1:8" s="35" customFormat="1" x14ac:dyDescent="0.3">
      <c r="A695" s="46" t="s">
        <v>83</v>
      </c>
    </row>
    <row r="696" spans="1:8" s="35" customFormat="1" x14ac:dyDescent="0.3">
      <c r="A696" s="93" t="str">
        <f>Dist1</f>
        <v>Citipower</v>
      </c>
    </row>
    <row r="697" spans="1:8" s="35" customFormat="1" x14ac:dyDescent="0.3">
      <c r="A697" s="94" t="s">
        <v>84</v>
      </c>
      <c r="B697" s="137" t="s">
        <v>134</v>
      </c>
      <c r="C697" s="140" t="s">
        <v>137</v>
      </c>
      <c r="D697" s="145"/>
      <c r="E697" s="145">
        <v>95.344999999999999</v>
      </c>
      <c r="F697" s="145">
        <v>109.98</v>
      </c>
      <c r="G697" s="145">
        <v>129.57999999999998</v>
      </c>
      <c r="H697" s="145">
        <v>148.76</v>
      </c>
    </row>
    <row r="698" spans="1:8" s="35" customFormat="1" x14ac:dyDescent="0.3">
      <c r="A698" s="95" t="s">
        <v>85</v>
      </c>
      <c r="B698" s="137"/>
      <c r="C698" s="137"/>
      <c r="E698" s="145"/>
      <c r="F698" s="145"/>
      <c r="G698" s="145"/>
      <c r="H698" s="145"/>
    </row>
    <row r="699" spans="1:8" s="35" customFormat="1" x14ac:dyDescent="0.3">
      <c r="A699" s="96" t="str">
        <f>Dist2</f>
        <v>Powercor</v>
      </c>
    </row>
    <row r="700" spans="1:8" s="35" customFormat="1" x14ac:dyDescent="0.3">
      <c r="A700" s="95" t="str">
        <f>A697</f>
        <v>Cost</v>
      </c>
      <c r="B700" s="137" t="s">
        <v>134</v>
      </c>
      <c r="C700" s="140" t="s">
        <v>137</v>
      </c>
      <c r="D700" s="145"/>
      <c r="E700" s="145">
        <v>98.984999999999999</v>
      </c>
      <c r="F700" s="145">
        <v>110.33499999999999</v>
      </c>
      <c r="G700" s="145">
        <v>122.25999999999999</v>
      </c>
      <c r="H700" s="145">
        <v>131.72</v>
      </c>
    </row>
    <row r="701" spans="1:8" s="35" customFormat="1" x14ac:dyDescent="0.3">
      <c r="A701" s="95" t="str">
        <f>A698</f>
        <v>Metering X factor</v>
      </c>
      <c r="B701" s="137"/>
      <c r="C701" s="137"/>
      <c r="E701" s="145"/>
      <c r="F701" s="145"/>
      <c r="G701" s="145"/>
      <c r="H701" s="145"/>
    </row>
    <row r="702" spans="1:8" s="35" customFormat="1" x14ac:dyDescent="0.3">
      <c r="A702" s="96" t="str">
        <f>Dist3</f>
        <v>SP Ausnet</v>
      </c>
    </row>
    <row r="703" spans="1:8" s="35" customFormat="1" x14ac:dyDescent="0.3">
      <c r="A703" s="95" t="str">
        <f>A700</f>
        <v>Cost</v>
      </c>
      <c r="B703" s="137" t="s">
        <v>134</v>
      </c>
      <c r="C703" s="140" t="s">
        <v>137</v>
      </c>
      <c r="D703" s="145"/>
      <c r="E703" s="145">
        <v>100.53999999999999</v>
      </c>
      <c r="F703" s="145">
        <v>118.70766135126408</v>
      </c>
      <c r="G703" s="145">
        <v>141.73794504744438</v>
      </c>
      <c r="H703" s="145">
        <v>166.94096649620849</v>
      </c>
    </row>
    <row r="704" spans="1:8" s="35" customFormat="1" x14ac:dyDescent="0.3">
      <c r="A704" s="95" t="str">
        <f>A701</f>
        <v>Metering X factor</v>
      </c>
      <c r="B704" s="137"/>
      <c r="C704" s="137"/>
      <c r="E704" s="145"/>
      <c r="F704" s="145"/>
      <c r="G704" s="145"/>
      <c r="H704" s="145"/>
    </row>
    <row r="705" spans="1:8" s="35" customFormat="1" x14ac:dyDescent="0.3">
      <c r="A705" s="96" t="str">
        <f>Dist4</f>
        <v>United</v>
      </c>
    </row>
    <row r="706" spans="1:8" s="35" customFormat="1" x14ac:dyDescent="0.3">
      <c r="A706" s="95" t="str">
        <f>A703</f>
        <v>Cost</v>
      </c>
      <c r="B706" s="137" t="s">
        <v>134</v>
      </c>
      <c r="C706" s="140" t="s">
        <v>137</v>
      </c>
      <c r="D706" s="145"/>
      <c r="E706" s="145">
        <v>99.344999999999999</v>
      </c>
      <c r="F706" s="145">
        <v>116.44945600122971</v>
      </c>
      <c r="G706" s="145">
        <v>137.13301759857967</v>
      </c>
      <c r="H706" s="145">
        <v>160.5892411876948</v>
      </c>
    </row>
    <row r="707" spans="1:8" s="35" customFormat="1" x14ac:dyDescent="0.3">
      <c r="A707" s="95" t="str">
        <f>A704</f>
        <v>Metering X factor</v>
      </c>
      <c r="B707" s="137"/>
      <c r="C707" s="137"/>
      <c r="E707" s="145"/>
      <c r="F707" s="145"/>
      <c r="G707" s="145"/>
      <c r="H707" s="145"/>
    </row>
    <row r="708" spans="1:8" s="35" customFormat="1" x14ac:dyDescent="0.3">
      <c r="A708" s="96" t="str">
        <f>Dist5</f>
        <v>Jemena</v>
      </c>
    </row>
    <row r="709" spans="1:8" s="35" customFormat="1" x14ac:dyDescent="0.3">
      <c r="A709" s="95" t="str">
        <f>A706</f>
        <v>Cost</v>
      </c>
      <c r="B709" s="137" t="s">
        <v>134</v>
      </c>
      <c r="C709" s="140" t="s">
        <v>137</v>
      </c>
      <c r="D709" s="145"/>
      <c r="E709" s="145">
        <v>145.32499999999999</v>
      </c>
      <c r="F709" s="145">
        <v>153.39499999999998</v>
      </c>
      <c r="G709" s="145">
        <v>154.03</v>
      </c>
      <c r="H709" s="145">
        <v>156.43</v>
      </c>
    </row>
    <row r="710" spans="1:8" s="35" customFormat="1" x14ac:dyDescent="0.3">
      <c r="A710" s="95" t="str">
        <f>A707</f>
        <v>Metering X factor</v>
      </c>
      <c r="B710" s="137"/>
      <c r="C710" s="137"/>
      <c r="E710" s="145"/>
      <c r="F710" s="145"/>
      <c r="G710" s="145"/>
      <c r="H710" s="145"/>
    </row>
    <row r="711" spans="1:8" s="35" customFormat="1" x14ac:dyDescent="0.3">
      <c r="A711" s="46"/>
    </row>
    <row r="712" spans="1:8" s="35" customFormat="1" x14ac:dyDescent="0.3">
      <c r="A712" s="46" t="s">
        <v>68</v>
      </c>
    </row>
    <row r="713" spans="1:8" s="35" customFormat="1" x14ac:dyDescent="0.3">
      <c r="A713" s="54" t="str">
        <f>Dist1</f>
        <v>Citipower</v>
      </c>
    </row>
    <row r="714" spans="1:8" s="35" customFormat="1" x14ac:dyDescent="0.3">
      <c r="A714" s="35" t="s">
        <v>108</v>
      </c>
      <c r="B714" s="137" t="s">
        <v>134</v>
      </c>
      <c r="C714" s="140" t="s">
        <v>137</v>
      </c>
      <c r="D714" s="144"/>
      <c r="E714" s="145">
        <v>1.4657</v>
      </c>
      <c r="F714" s="146">
        <f t="shared" ref="F714:H718" si="64">E714*(1+inflation)</f>
        <v>1.5023424999999999</v>
      </c>
      <c r="G714" s="146">
        <f t="shared" si="64"/>
        <v>1.5399010624999998</v>
      </c>
      <c r="H714" s="146">
        <f t="shared" si="64"/>
        <v>1.5783985890624996</v>
      </c>
    </row>
    <row r="715" spans="1:8" s="35" customFormat="1" x14ac:dyDescent="0.3">
      <c r="A715" s="35" t="s">
        <v>33</v>
      </c>
      <c r="B715" s="137" t="s">
        <v>134</v>
      </c>
      <c r="C715" s="140" t="s">
        <v>138</v>
      </c>
      <c r="D715" s="144"/>
      <c r="E715" s="147">
        <v>3.1750000000000002E-4</v>
      </c>
      <c r="F715" s="148">
        <f t="shared" si="64"/>
        <v>3.2543749999999999E-4</v>
      </c>
      <c r="G715" s="148">
        <f t="shared" si="64"/>
        <v>3.3357343749999997E-4</v>
      </c>
      <c r="H715" s="148">
        <f t="shared" si="64"/>
        <v>3.4191277343749996E-4</v>
      </c>
    </row>
    <row r="716" spans="1:8" s="35" customFormat="1" x14ac:dyDescent="0.3">
      <c r="A716" s="35" t="s">
        <v>34</v>
      </c>
      <c r="B716" s="137" t="s">
        <v>134</v>
      </c>
      <c r="C716" s="140" t="s">
        <v>138</v>
      </c>
      <c r="D716" s="144"/>
      <c r="E716" s="147">
        <v>3.1750000000000002E-4</v>
      </c>
      <c r="F716" s="148">
        <f t="shared" si="64"/>
        <v>3.2543749999999999E-4</v>
      </c>
      <c r="G716" s="148">
        <f t="shared" si="64"/>
        <v>3.3357343749999997E-4</v>
      </c>
      <c r="H716" s="148">
        <f t="shared" si="64"/>
        <v>3.4191277343749996E-4</v>
      </c>
    </row>
    <row r="717" spans="1:8" s="35" customFormat="1" x14ac:dyDescent="0.3">
      <c r="A717" s="35" t="s">
        <v>35</v>
      </c>
      <c r="B717" s="137" t="s">
        <v>134</v>
      </c>
      <c r="C717" s="140" t="s">
        <v>138</v>
      </c>
      <c r="D717" s="144"/>
      <c r="E717" s="147">
        <v>0</v>
      </c>
      <c r="F717" s="148">
        <f t="shared" si="64"/>
        <v>0</v>
      </c>
      <c r="G717" s="148">
        <f t="shared" si="64"/>
        <v>0</v>
      </c>
      <c r="H717" s="148">
        <f t="shared" si="64"/>
        <v>0</v>
      </c>
    </row>
    <row r="718" spans="1:8" s="35" customFormat="1" x14ac:dyDescent="0.3">
      <c r="A718" s="35" t="s">
        <v>82</v>
      </c>
      <c r="B718" s="137" t="s">
        <v>134</v>
      </c>
      <c r="C718" s="140" t="s">
        <v>138</v>
      </c>
      <c r="D718" s="144"/>
      <c r="E718" s="147">
        <v>0</v>
      </c>
      <c r="F718" s="148">
        <f t="shared" si="64"/>
        <v>0</v>
      </c>
      <c r="G718" s="148">
        <f t="shared" si="64"/>
        <v>0</v>
      </c>
      <c r="H718" s="148">
        <f t="shared" si="64"/>
        <v>0</v>
      </c>
    </row>
    <row r="719" spans="1:8" s="35" customFormat="1" x14ac:dyDescent="0.3">
      <c r="A719" s="54" t="str">
        <f>Dist2</f>
        <v>Powercor</v>
      </c>
      <c r="G719" s="57"/>
      <c r="H719" s="57"/>
    </row>
    <row r="720" spans="1:8" s="35" customFormat="1" x14ac:dyDescent="0.3">
      <c r="A720" s="35" t="str">
        <f>A714</f>
        <v>Fixed</v>
      </c>
      <c r="B720" s="137" t="s">
        <v>134</v>
      </c>
      <c r="C720" s="140" t="s">
        <v>137</v>
      </c>
      <c r="D720" s="144"/>
      <c r="E720" s="145">
        <v>2.8079999999999998</v>
      </c>
      <c r="F720" s="146">
        <f t="shared" ref="F720:H724" si="65">E720*(1+inflation)</f>
        <v>2.8781999999999996</v>
      </c>
      <c r="G720" s="146">
        <f t="shared" si="65"/>
        <v>2.9501549999999992</v>
      </c>
      <c r="H720" s="146">
        <f t="shared" si="65"/>
        <v>3.0239088749999987</v>
      </c>
    </row>
    <row r="721" spans="1:8" s="35" customFormat="1" x14ac:dyDescent="0.3">
      <c r="A721" s="35" t="str">
        <f>A715</f>
        <v>1st Step</v>
      </c>
      <c r="B721" s="137" t="s">
        <v>134</v>
      </c>
      <c r="C721" s="140" t="s">
        <v>138</v>
      </c>
      <c r="D721" s="144"/>
      <c r="E721" s="147">
        <v>2.5819999999999997E-3</v>
      </c>
      <c r="F721" s="148">
        <f t="shared" si="65"/>
        <v>2.6465499999999993E-3</v>
      </c>
      <c r="G721" s="148">
        <f t="shared" si="65"/>
        <v>2.712713749999999E-3</v>
      </c>
      <c r="H721" s="148">
        <f t="shared" si="65"/>
        <v>2.7805315937499985E-3</v>
      </c>
    </row>
    <row r="722" spans="1:8" s="35" customFormat="1" x14ac:dyDescent="0.3">
      <c r="A722" s="35" t="str">
        <f>A716</f>
        <v>2nd Step</v>
      </c>
      <c r="B722" s="137" t="s">
        <v>134</v>
      </c>
      <c r="C722" s="140" t="s">
        <v>138</v>
      </c>
      <c r="D722" s="144"/>
      <c r="E722" s="147">
        <v>2.5819999999999997E-3</v>
      </c>
      <c r="F722" s="148">
        <f t="shared" si="65"/>
        <v>2.6465499999999993E-3</v>
      </c>
      <c r="G722" s="148">
        <f t="shared" si="65"/>
        <v>2.712713749999999E-3</v>
      </c>
      <c r="H722" s="148">
        <f t="shared" si="65"/>
        <v>2.7805315937499985E-3</v>
      </c>
    </row>
    <row r="723" spans="1:8" s="35" customFormat="1" x14ac:dyDescent="0.3">
      <c r="A723" s="35" t="str">
        <f>A717</f>
        <v>3rd Step</v>
      </c>
      <c r="B723" s="137" t="s">
        <v>134</v>
      </c>
      <c r="C723" s="140" t="s">
        <v>138</v>
      </c>
      <c r="D723" s="144"/>
      <c r="E723" s="147">
        <v>2.5819999999999997E-3</v>
      </c>
      <c r="F723" s="148">
        <f t="shared" si="65"/>
        <v>2.6465499999999993E-3</v>
      </c>
      <c r="G723" s="148">
        <f t="shared" si="65"/>
        <v>2.712713749999999E-3</v>
      </c>
      <c r="H723" s="148">
        <f t="shared" si="65"/>
        <v>2.7805315937499985E-3</v>
      </c>
    </row>
    <row r="724" spans="1:8" s="35" customFormat="1" x14ac:dyDescent="0.3">
      <c r="A724" s="35" t="str">
        <f>A718</f>
        <v>4th Step</v>
      </c>
      <c r="B724" s="137" t="s">
        <v>134</v>
      </c>
      <c r="C724" s="140" t="s">
        <v>138</v>
      </c>
      <c r="D724" s="144"/>
      <c r="E724" s="147">
        <v>2.5819999999999997E-3</v>
      </c>
      <c r="F724" s="148">
        <f t="shared" si="65"/>
        <v>2.6465499999999993E-3</v>
      </c>
      <c r="G724" s="148">
        <f t="shared" si="65"/>
        <v>2.712713749999999E-3</v>
      </c>
      <c r="H724" s="148">
        <f t="shared" si="65"/>
        <v>2.7805315937499985E-3</v>
      </c>
    </row>
    <row r="725" spans="1:8" s="35" customFormat="1" x14ac:dyDescent="0.3">
      <c r="A725" s="54" t="str">
        <f>Dist3</f>
        <v>SP Ausnet</v>
      </c>
      <c r="D725" s="49"/>
      <c r="E725" s="49"/>
      <c r="F725" s="49"/>
      <c r="G725" s="57"/>
      <c r="H725" s="57"/>
    </row>
    <row r="726" spans="1:8" s="35" customFormat="1" x14ac:dyDescent="0.3">
      <c r="A726" s="35" t="str">
        <f>A720</f>
        <v>Fixed</v>
      </c>
      <c r="B726" s="137" t="s">
        <v>134</v>
      </c>
      <c r="C726" s="140" t="s">
        <v>137</v>
      </c>
      <c r="D726" s="144"/>
      <c r="E726" s="145">
        <v>2.5</v>
      </c>
      <c r="F726" s="146">
        <f t="shared" ref="F726:H730" si="66">E726*(1+inflation)</f>
        <v>2.5625</v>
      </c>
      <c r="G726" s="146">
        <f t="shared" si="66"/>
        <v>2.6265624999999999</v>
      </c>
      <c r="H726" s="146">
        <f t="shared" si="66"/>
        <v>2.6922265624999997</v>
      </c>
    </row>
    <row r="727" spans="1:8" s="35" customFormat="1" x14ac:dyDescent="0.3">
      <c r="A727" s="35" t="str">
        <f>A721</f>
        <v>1st Step</v>
      </c>
      <c r="B727" s="137" t="s">
        <v>134</v>
      </c>
      <c r="C727" s="140" t="s">
        <v>138</v>
      </c>
      <c r="D727" s="144"/>
      <c r="E727" s="147">
        <v>1.6100000000000001E-3</v>
      </c>
      <c r="F727" s="148">
        <f t="shared" si="66"/>
        <v>1.65025E-3</v>
      </c>
      <c r="G727" s="148">
        <f t="shared" si="66"/>
        <v>1.6915062499999998E-3</v>
      </c>
      <c r="H727" s="148">
        <f t="shared" si="66"/>
        <v>1.7337939062499997E-3</v>
      </c>
    </row>
    <row r="728" spans="1:8" s="35" customFormat="1" x14ac:dyDescent="0.3">
      <c r="A728" s="35" t="str">
        <f>A722</f>
        <v>2nd Step</v>
      </c>
      <c r="B728" s="137" t="s">
        <v>134</v>
      </c>
      <c r="C728" s="140" t="s">
        <v>138</v>
      </c>
      <c r="D728" s="144"/>
      <c r="E728" s="147">
        <v>1.6100000000000001E-3</v>
      </c>
      <c r="F728" s="148">
        <f t="shared" si="66"/>
        <v>1.65025E-3</v>
      </c>
      <c r="G728" s="148">
        <f t="shared" si="66"/>
        <v>1.6915062499999998E-3</v>
      </c>
      <c r="H728" s="148">
        <f t="shared" si="66"/>
        <v>1.7337939062499997E-3</v>
      </c>
    </row>
    <row r="729" spans="1:8" s="35" customFormat="1" x14ac:dyDescent="0.3">
      <c r="A729" s="35" t="str">
        <f>A723</f>
        <v>3rd Step</v>
      </c>
      <c r="B729" s="137" t="s">
        <v>134</v>
      </c>
      <c r="C729" s="140" t="s">
        <v>138</v>
      </c>
      <c r="D729" s="144"/>
      <c r="E729" s="147">
        <v>0</v>
      </c>
      <c r="F729" s="148">
        <f t="shared" si="66"/>
        <v>0</v>
      </c>
      <c r="G729" s="148">
        <f t="shared" si="66"/>
        <v>0</v>
      </c>
      <c r="H729" s="148">
        <f t="shared" si="66"/>
        <v>0</v>
      </c>
    </row>
    <row r="730" spans="1:8" s="35" customFormat="1" x14ac:dyDescent="0.3">
      <c r="A730" s="35" t="str">
        <f>A724</f>
        <v>4th Step</v>
      </c>
      <c r="B730" s="137" t="s">
        <v>134</v>
      </c>
      <c r="C730" s="140" t="s">
        <v>138</v>
      </c>
      <c r="D730" s="144"/>
      <c r="E730" s="147">
        <v>0</v>
      </c>
      <c r="F730" s="148">
        <f t="shared" si="66"/>
        <v>0</v>
      </c>
      <c r="G730" s="148">
        <f t="shared" si="66"/>
        <v>0</v>
      </c>
      <c r="H730" s="148">
        <f t="shared" si="66"/>
        <v>0</v>
      </c>
    </row>
    <row r="731" spans="1:8" s="35" customFormat="1" x14ac:dyDescent="0.3">
      <c r="A731" s="54" t="str">
        <f>Dist4</f>
        <v>United</v>
      </c>
      <c r="D731" s="49"/>
      <c r="E731" s="49"/>
      <c r="F731" s="49"/>
      <c r="G731" s="57"/>
      <c r="H731" s="57"/>
    </row>
    <row r="732" spans="1:8" s="35" customFormat="1" x14ac:dyDescent="0.3">
      <c r="A732" s="35" t="str">
        <f>A726</f>
        <v>Fixed</v>
      </c>
      <c r="B732" s="137" t="s">
        <v>134</v>
      </c>
      <c r="C732" s="140" t="s">
        <v>137</v>
      </c>
      <c r="D732" s="144"/>
      <c r="E732" s="145">
        <v>7.2178750000000003</v>
      </c>
      <c r="F732" s="146">
        <f t="shared" ref="F732:H736" si="67">E732*(1+inflation)</f>
        <v>7.3983218749999997</v>
      </c>
      <c r="G732" s="146">
        <f t="shared" si="67"/>
        <v>7.5832799218749987</v>
      </c>
      <c r="H732" s="146">
        <f t="shared" si="67"/>
        <v>7.7728619199218727</v>
      </c>
    </row>
    <row r="733" spans="1:8" s="35" customFormat="1" x14ac:dyDescent="0.3">
      <c r="A733" s="35" t="str">
        <f>A727</f>
        <v>1st Step</v>
      </c>
      <c r="B733" s="137" t="s">
        <v>134</v>
      </c>
      <c r="C733" s="140" t="s">
        <v>138</v>
      </c>
      <c r="D733" s="144"/>
      <c r="E733" s="147">
        <v>0</v>
      </c>
      <c r="F733" s="148">
        <f t="shared" si="67"/>
        <v>0</v>
      </c>
      <c r="G733" s="148">
        <f t="shared" si="67"/>
        <v>0</v>
      </c>
      <c r="H733" s="148">
        <f t="shared" si="67"/>
        <v>0</v>
      </c>
    </row>
    <row r="734" spans="1:8" s="35" customFormat="1" x14ac:dyDescent="0.3">
      <c r="A734" s="35" t="str">
        <f>A728</f>
        <v>2nd Step</v>
      </c>
      <c r="B734" s="137" t="s">
        <v>134</v>
      </c>
      <c r="C734" s="140" t="s">
        <v>138</v>
      </c>
      <c r="D734" s="144"/>
      <c r="E734" s="147">
        <v>0</v>
      </c>
      <c r="F734" s="148">
        <f t="shared" si="67"/>
        <v>0</v>
      </c>
      <c r="G734" s="148">
        <f t="shared" si="67"/>
        <v>0</v>
      </c>
      <c r="H734" s="148">
        <f t="shared" si="67"/>
        <v>0</v>
      </c>
    </row>
    <row r="735" spans="1:8" s="35" customFormat="1" x14ac:dyDescent="0.3">
      <c r="A735" s="35" t="str">
        <f>A729</f>
        <v>3rd Step</v>
      </c>
      <c r="B735" s="137" t="s">
        <v>134</v>
      </c>
      <c r="C735" s="140" t="s">
        <v>138</v>
      </c>
      <c r="D735" s="144"/>
      <c r="E735" s="147">
        <v>0</v>
      </c>
      <c r="F735" s="148">
        <f t="shared" si="67"/>
        <v>0</v>
      </c>
      <c r="G735" s="148">
        <f t="shared" si="67"/>
        <v>0</v>
      </c>
      <c r="H735" s="148">
        <f t="shared" si="67"/>
        <v>0</v>
      </c>
    </row>
    <row r="736" spans="1:8" s="35" customFormat="1" x14ac:dyDescent="0.3">
      <c r="A736" s="35" t="str">
        <f>A730</f>
        <v>4th Step</v>
      </c>
      <c r="B736" s="137" t="s">
        <v>134</v>
      </c>
      <c r="C736" s="140" t="s">
        <v>138</v>
      </c>
      <c r="D736" s="144"/>
      <c r="E736" s="147">
        <v>0</v>
      </c>
      <c r="F736" s="148">
        <f t="shared" si="67"/>
        <v>0</v>
      </c>
      <c r="G736" s="148">
        <f t="shared" si="67"/>
        <v>0</v>
      </c>
      <c r="H736" s="148">
        <f t="shared" si="67"/>
        <v>0</v>
      </c>
    </row>
    <row r="737" spans="1:8" s="35" customFormat="1" x14ac:dyDescent="0.3">
      <c r="A737" s="54" t="str">
        <f>Dist5</f>
        <v>Jemena</v>
      </c>
      <c r="D737" s="49"/>
      <c r="E737" s="49"/>
      <c r="F737" s="49"/>
      <c r="G737" s="57"/>
      <c r="H737" s="57"/>
    </row>
    <row r="738" spans="1:8" s="35" customFormat="1" x14ac:dyDescent="0.3">
      <c r="A738" s="35" t="str">
        <f>A732</f>
        <v>Fixed</v>
      </c>
      <c r="B738" s="137" t="s">
        <v>134</v>
      </c>
      <c r="C738" s="140" t="s">
        <v>137</v>
      </c>
      <c r="D738" s="144"/>
      <c r="E738" s="145">
        <v>0</v>
      </c>
      <c r="F738" s="146">
        <f t="shared" ref="F738:H742" si="68">E738*(1+inflation)</f>
        <v>0</v>
      </c>
      <c r="G738" s="146">
        <f t="shared" si="68"/>
        <v>0</v>
      </c>
      <c r="H738" s="146">
        <f t="shared" si="68"/>
        <v>0</v>
      </c>
    </row>
    <row r="739" spans="1:8" s="35" customFormat="1" x14ac:dyDescent="0.3">
      <c r="A739" s="35" t="str">
        <f>A733</f>
        <v>1st Step</v>
      </c>
      <c r="B739" s="137" t="s">
        <v>134</v>
      </c>
      <c r="C739" s="140" t="s">
        <v>138</v>
      </c>
      <c r="D739" s="144"/>
      <c r="E739" s="147">
        <v>4.8999999999999998E-4</v>
      </c>
      <c r="F739" s="148">
        <f t="shared" si="68"/>
        <v>5.0224999999999998E-4</v>
      </c>
      <c r="G739" s="148">
        <f t="shared" si="68"/>
        <v>5.148062499999999E-4</v>
      </c>
      <c r="H739" s="148">
        <f t="shared" si="68"/>
        <v>5.2767640624999982E-4</v>
      </c>
    </row>
    <row r="740" spans="1:8" s="35" customFormat="1" x14ac:dyDescent="0.3">
      <c r="A740" s="35" t="str">
        <f>A734</f>
        <v>2nd Step</v>
      </c>
      <c r="B740" s="137" t="s">
        <v>134</v>
      </c>
      <c r="C740" s="140" t="s">
        <v>138</v>
      </c>
      <c r="D740" s="144"/>
      <c r="E740" s="147">
        <v>0</v>
      </c>
      <c r="F740" s="148">
        <f t="shared" si="68"/>
        <v>0</v>
      </c>
      <c r="G740" s="148">
        <f t="shared" si="68"/>
        <v>0</v>
      </c>
      <c r="H740" s="148">
        <f t="shared" si="68"/>
        <v>0</v>
      </c>
    </row>
    <row r="741" spans="1:8" s="35" customFormat="1" x14ac:dyDescent="0.3">
      <c r="A741" s="35" t="str">
        <f>A735</f>
        <v>3rd Step</v>
      </c>
      <c r="B741" s="137" t="s">
        <v>134</v>
      </c>
      <c r="C741" s="140" t="s">
        <v>138</v>
      </c>
      <c r="D741" s="144"/>
      <c r="E741" s="147">
        <v>0</v>
      </c>
      <c r="F741" s="148">
        <f t="shared" si="68"/>
        <v>0</v>
      </c>
      <c r="G741" s="148">
        <f t="shared" si="68"/>
        <v>0</v>
      </c>
      <c r="H741" s="148">
        <f t="shared" si="68"/>
        <v>0</v>
      </c>
    </row>
    <row r="742" spans="1:8" s="35" customFormat="1" x14ac:dyDescent="0.3">
      <c r="A742" s="35" t="str">
        <f>A736</f>
        <v>4th Step</v>
      </c>
      <c r="B742" s="137" t="s">
        <v>134</v>
      </c>
      <c r="C742" s="140" t="s">
        <v>138</v>
      </c>
      <c r="D742" s="144"/>
      <c r="E742" s="147">
        <v>0</v>
      </c>
      <c r="F742" s="148">
        <f t="shared" si="68"/>
        <v>0</v>
      </c>
      <c r="G742" s="148">
        <f t="shared" si="68"/>
        <v>0</v>
      </c>
      <c r="H742" s="148">
        <f t="shared" si="68"/>
        <v>0</v>
      </c>
    </row>
    <row r="743" spans="1:8" s="35" customFormat="1" x14ac:dyDescent="0.3">
      <c r="A743" s="58"/>
      <c r="C743" s="40"/>
      <c r="D743" s="40"/>
      <c r="E743" s="40"/>
      <c r="F743" s="40"/>
    </row>
    <row r="744" spans="1:8" s="35" customFormat="1" x14ac:dyDescent="0.3">
      <c r="A744" s="46" t="s">
        <v>32</v>
      </c>
    </row>
    <row r="745" spans="1:8" s="35" customFormat="1" x14ac:dyDescent="0.3">
      <c r="A745" s="54" t="str">
        <f>Dist1</f>
        <v>Citipower</v>
      </c>
    </row>
    <row r="746" spans="1:8" s="35" customFormat="1" x14ac:dyDescent="0.3">
      <c r="A746" s="35" t="s">
        <v>18</v>
      </c>
      <c r="B746" s="137" t="s">
        <v>134</v>
      </c>
      <c r="C746" s="140" t="s">
        <v>71</v>
      </c>
      <c r="D746" s="143"/>
      <c r="E746" s="142">
        <v>2961.9561210466591</v>
      </c>
      <c r="F746" s="142">
        <f>E746</f>
        <v>2961.9561210466591</v>
      </c>
      <c r="G746" s="142">
        <f t="shared" ref="G746:H746" si="69">F746</f>
        <v>2961.9561210466591</v>
      </c>
      <c r="H746" s="142">
        <f t="shared" si="69"/>
        <v>2961.9561210466591</v>
      </c>
    </row>
    <row r="747" spans="1:8" s="35" customFormat="1" x14ac:dyDescent="0.3">
      <c r="A747" s="35" t="s">
        <v>19</v>
      </c>
      <c r="B747" s="137" t="s">
        <v>134</v>
      </c>
      <c r="C747" s="140" t="s">
        <v>71</v>
      </c>
      <c r="D747" s="143"/>
      <c r="E747" s="142">
        <v>1538.0438789533409</v>
      </c>
      <c r="F747" s="142">
        <f t="shared" ref="F747:H749" si="70">E747</f>
        <v>1538.0438789533409</v>
      </c>
      <c r="G747" s="142">
        <f t="shared" si="70"/>
        <v>1538.0438789533409</v>
      </c>
      <c r="H747" s="142">
        <f t="shared" si="70"/>
        <v>1538.0438789533409</v>
      </c>
    </row>
    <row r="748" spans="1:8" s="35" customFormat="1" x14ac:dyDescent="0.3">
      <c r="A748" s="35" t="s">
        <v>20</v>
      </c>
      <c r="B748" s="137" t="s">
        <v>134</v>
      </c>
      <c r="C748" s="140" t="s">
        <v>71</v>
      </c>
      <c r="D748" s="143"/>
      <c r="E748" s="142">
        <v>0</v>
      </c>
      <c r="F748" s="142">
        <f t="shared" si="70"/>
        <v>0</v>
      </c>
      <c r="G748" s="142">
        <f t="shared" si="70"/>
        <v>0</v>
      </c>
      <c r="H748" s="142">
        <f t="shared" si="70"/>
        <v>0</v>
      </c>
    </row>
    <row r="749" spans="1:8" s="35" customFormat="1" x14ac:dyDescent="0.3">
      <c r="A749" s="35" t="s">
        <v>81</v>
      </c>
      <c r="B749" s="137" t="s">
        <v>134</v>
      </c>
      <c r="C749" s="140" t="s">
        <v>71</v>
      </c>
      <c r="D749" s="143"/>
      <c r="E749" s="142">
        <v>0</v>
      </c>
      <c r="F749" s="142">
        <f t="shared" si="70"/>
        <v>0</v>
      </c>
      <c r="G749" s="142">
        <f t="shared" si="70"/>
        <v>0</v>
      </c>
      <c r="H749" s="142">
        <f t="shared" si="70"/>
        <v>0</v>
      </c>
    </row>
    <row r="750" spans="1:8" s="35" customFormat="1" x14ac:dyDescent="0.3">
      <c r="A750" s="35" t="s">
        <v>53</v>
      </c>
      <c r="C750" s="140" t="s">
        <v>71</v>
      </c>
      <c r="D750" s="82">
        <f>SUM(D746:D749)</f>
        <v>0</v>
      </c>
      <c r="E750" s="82">
        <f t="shared" ref="E750:H750" si="71">SUM(E746:E749)</f>
        <v>4500</v>
      </c>
      <c r="F750" s="82">
        <f t="shared" si="71"/>
        <v>4500</v>
      </c>
      <c r="G750" s="82">
        <f t="shared" si="71"/>
        <v>4500</v>
      </c>
      <c r="H750" s="82">
        <f t="shared" si="71"/>
        <v>4500</v>
      </c>
    </row>
    <row r="751" spans="1:8" s="35" customFormat="1" x14ac:dyDescent="0.3"/>
    <row r="752" spans="1:8" s="35" customFormat="1" x14ac:dyDescent="0.3">
      <c r="A752" s="54" t="str">
        <f>Dist2</f>
        <v>Powercor</v>
      </c>
    </row>
    <row r="753" spans="1:8" s="35" customFormat="1" x14ac:dyDescent="0.3">
      <c r="A753" s="35" t="str">
        <f>A746</f>
        <v>Block 1</v>
      </c>
      <c r="B753" s="137" t="s">
        <v>134</v>
      </c>
      <c r="C753" s="140" t="s">
        <v>71</v>
      </c>
      <c r="D753" s="141"/>
      <c r="E753" s="142">
        <v>3156.0847951439</v>
      </c>
      <c r="F753" s="142">
        <f>E753</f>
        <v>3156.0847951439</v>
      </c>
      <c r="G753" s="142">
        <f t="shared" ref="G753:H753" si="72">F753</f>
        <v>3156.0847951439</v>
      </c>
      <c r="H753" s="142">
        <f t="shared" si="72"/>
        <v>3156.0847951439</v>
      </c>
    </row>
    <row r="754" spans="1:8" s="35" customFormat="1" x14ac:dyDescent="0.3">
      <c r="A754" s="35" t="str">
        <f t="shared" ref="A754:A757" si="73">A747</f>
        <v>Block 2</v>
      </c>
      <c r="B754" s="137" t="s">
        <v>134</v>
      </c>
      <c r="C754" s="140" t="s">
        <v>71</v>
      </c>
      <c r="D754" s="141"/>
      <c r="E754" s="142">
        <v>1542.1574916567613</v>
      </c>
      <c r="F754" s="142">
        <f t="shared" ref="F754:H756" si="74">E754</f>
        <v>1542.1574916567613</v>
      </c>
      <c r="G754" s="142">
        <f t="shared" si="74"/>
        <v>1542.1574916567613</v>
      </c>
      <c r="H754" s="142">
        <f t="shared" si="74"/>
        <v>1542.1574916567613</v>
      </c>
    </row>
    <row r="755" spans="1:8" s="35" customFormat="1" x14ac:dyDescent="0.3">
      <c r="A755" s="35" t="str">
        <f t="shared" si="73"/>
        <v>Block 3</v>
      </c>
      <c r="B755" s="137" t="s">
        <v>134</v>
      </c>
      <c r="C755" s="140" t="s">
        <v>71</v>
      </c>
      <c r="D755" s="141"/>
      <c r="E755" s="142">
        <v>43.129702864772291</v>
      </c>
      <c r="F755" s="142">
        <f t="shared" si="74"/>
        <v>43.129702864772291</v>
      </c>
      <c r="G755" s="142">
        <f t="shared" si="74"/>
        <v>43.129702864772291</v>
      </c>
      <c r="H755" s="142">
        <f t="shared" si="74"/>
        <v>43.129702864772291</v>
      </c>
    </row>
    <row r="756" spans="1:8" s="35" customFormat="1" x14ac:dyDescent="0.3">
      <c r="A756" s="35" t="str">
        <f t="shared" si="73"/>
        <v>Block 4</v>
      </c>
      <c r="B756" s="137" t="s">
        <v>134</v>
      </c>
      <c r="C756" s="140" t="s">
        <v>71</v>
      </c>
      <c r="D756" s="141"/>
      <c r="E756" s="142">
        <v>8.6280103345644878</v>
      </c>
      <c r="F756" s="142">
        <f t="shared" si="74"/>
        <v>8.6280103345644878</v>
      </c>
      <c r="G756" s="142">
        <f t="shared" si="74"/>
        <v>8.6280103345644878</v>
      </c>
      <c r="H756" s="142">
        <f t="shared" si="74"/>
        <v>8.6280103345644878</v>
      </c>
    </row>
    <row r="757" spans="1:8" s="35" customFormat="1" x14ac:dyDescent="0.3">
      <c r="A757" s="35" t="str">
        <f t="shared" si="73"/>
        <v>Total</v>
      </c>
      <c r="C757" s="137" t="s">
        <v>71</v>
      </c>
      <c r="D757" s="82">
        <f>SUM(D753:D756)</f>
        <v>0</v>
      </c>
      <c r="E757" s="82">
        <f t="shared" ref="E757" si="75">SUM(E753:E756)</f>
        <v>4749.9999999999982</v>
      </c>
      <c r="F757" s="82">
        <f t="shared" ref="F757" si="76">SUM(F753:F756)</f>
        <v>4749.9999999999982</v>
      </c>
      <c r="G757" s="82">
        <f t="shared" ref="G757" si="77">SUM(G753:G756)</f>
        <v>4749.9999999999982</v>
      </c>
      <c r="H757" s="82">
        <f t="shared" ref="H757" si="78">SUM(H753:H756)</f>
        <v>4749.9999999999982</v>
      </c>
    </row>
    <row r="758" spans="1:8" s="35" customFormat="1" x14ac:dyDescent="0.3"/>
    <row r="759" spans="1:8" s="35" customFormat="1" x14ac:dyDescent="0.3">
      <c r="A759" s="54" t="str">
        <f>Dist3</f>
        <v>SP Ausnet</v>
      </c>
    </row>
    <row r="760" spans="1:8" s="35" customFormat="1" x14ac:dyDescent="0.3">
      <c r="A760" s="35" t="str">
        <f>A753</f>
        <v>Block 1</v>
      </c>
      <c r="B760" s="137" t="s">
        <v>134</v>
      </c>
      <c r="C760" s="140" t="s">
        <v>71</v>
      </c>
      <c r="D760" s="141"/>
      <c r="E760" s="142">
        <v>3210.54462835292</v>
      </c>
      <c r="F760" s="142">
        <f>E760</f>
        <v>3210.54462835292</v>
      </c>
      <c r="G760" s="142">
        <f t="shared" ref="G760:H760" si="79">F760</f>
        <v>3210.54462835292</v>
      </c>
      <c r="H760" s="142">
        <f t="shared" si="79"/>
        <v>3210.54462835292</v>
      </c>
    </row>
    <row r="761" spans="1:8" s="35" customFormat="1" x14ac:dyDescent="0.3">
      <c r="A761" s="35" t="str">
        <f t="shared" ref="A761:A764" si="80">A754</f>
        <v>Block 2</v>
      </c>
      <c r="B761" s="137" t="s">
        <v>134</v>
      </c>
      <c r="C761" s="140" t="s">
        <v>71</v>
      </c>
      <c r="D761" s="141"/>
      <c r="E761" s="142">
        <v>1789.455371647085</v>
      </c>
      <c r="F761" s="142">
        <f t="shared" ref="F761:H763" si="81">E761</f>
        <v>1789.455371647085</v>
      </c>
      <c r="G761" s="142">
        <f t="shared" si="81"/>
        <v>1789.455371647085</v>
      </c>
      <c r="H761" s="142">
        <f t="shared" si="81"/>
        <v>1789.455371647085</v>
      </c>
    </row>
    <row r="762" spans="1:8" s="35" customFormat="1" x14ac:dyDescent="0.3">
      <c r="A762" s="35" t="str">
        <f t="shared" si="80"/>
        <v>Block 3</v>
      </c>
      <c r="B762" s="137" t="s">
        <v>134</v>
      </c>
      <c r="C762" s="140" t="s">
        <v>71</v>
      </c>
      <c r="D762" s="141"/>
      <c r="E762" s="142">
        <v>0</v>
      </c>
      <c r="F762" s="142">
        <f t="shared" si="81"/>
        <v>0</v>
      </c>
      <c r="G762" s="142">
        <f t="shared" si="81"/>
        <v>0</v>
      </c>
      <c r="H762" s="142">
        <f t="shared" si="81"/>
        <v>0</v>
      </c>
    </row>
    <row r="763" spans="1:8" s="35" customFormat="1" x14ac:dyDescent="0.3">
      <c r="A763" s="35" t="str">
        <f t="shared" si="80"/>
        <v>Block 4</v>
      </c>
      <c r="B763" s="137" t="s">
        <v>134</v>
      </c>
      <c r="C763" s="140" t="s">
        <v>71</v>
      </c>
      <c r="D763" s="143"/>
      <c r="E763" s="142">
        <v>0</v>
      </c>
      <c r="F763" s="142">
        <f t="shared" si="81"/>
        <v>0</v>
      </c>
      <c r="G763" s="142">
        <f t="shared" si="81"/>
        <v>0</v>
      </c>
      <c r="H763" s="142">
        <f t="shared" si="81"/>
        <v>0</v>
      </c>
    </row>
    <row r="764" spans="1:8" s="35" customFormat="1" x14ac:dyDescent="0.3">
      <c r="A764" s="35" t="str">
        <f t="shared" si="80"/>
        <v>Total</v>
      </c>
      <c r="C764" s="137" t="s">
        <v>71</v>
      </c>
      <c r="D764" s="82">
        <f>SUM(D760:D763)</f>
        <v>0</v>
      </c>
      <c r="E764" s="82">
        <f t="shared" ref="E764" si="82">SUM(E760:E763)</f>
        <v>5000.0000000000055</v>
      </c>
      <c r="F764" s="82">
        <f t="shared" ref="F764" si="83">SUM(F760:F763)</f>
        <v>5000.0000000000055</v>
      </c>
      <c r="G764" s="82">
        <f t="shared" ref="G764" si="84">SUM(G760:G763)</f>
        <v>5000.0000000000055</v>
      </c>
      <c r="H764" s="82">
        <f t="shared" ref="H764" si="85">SUM(H760:H763)</f>
        <v>5000.0000000000055</v>
      </c>
    </row>
    <row r="765" spans="1:8" s="35" customFormat="1" x14ac:dyDescent="0.3"/>
    <row r="766" spans="1:8" s="35" customFormat="1" x14ac:dyDescent="0.3">
      <c r="A766" s="54" t="str">
        <f>Dist4</f>
        <v>United</v>
      </c>
    </row>
    <row r="767" spans="1:8" s="35" customFormat="1" x14ac:dyDescent="0.3">
      <c r="A767" s="35" t="str">
        <f>A760</f>
        <v>Block 1</v>
      </c>
      <c r="B767" s="137" t="s">
        <v>134</v>
      </c>
      <c r="C767" s="140" t="s">
        <v>71</v>
      </c>
      <c r="D767" s="141"/>
      <c r="E767" s="142">
        <v>1806.7555131246729</v>
      </c>
      <c r="F767" s="142">
        <f>E767</f>
        <v>1806.7555131246729</v>
      </c>
      <c r="G767" s="142">
        <f t="shared" ref="G767:H767" si="86">F767</f>
        <v>1806.7555131246729</v>
      </c>
      <c r="H767" s="142">
        <f t="shared" si="86"/>
        <v>1806.7555131246729</v>
      </c>
    </row>
    <row r="768" spans="1:8" s="35" customFormat="1" x14ac:dyDescent="0.3">
      <c r="A768" s="35" t="str">
        <f t="shared" ref="A768:A771" si="87">A761</f>
        <v>Block 2</v>
      </c>
      <c r="B768" s="137" t="s">
        <v>134</v>
      </c>
      <c r="C768" s="140" t="s">
        <v>71</v>
      </c>
      <c r="D768" s="141"/>
      <c r="E768" s="142">
        <v>3193.2444868753273</v>
      </c>
      <c r="F768" s="142">
        <f t="shared" ref="F768:H770" si="88">E768</f>
        <v>3193.2444868753273</v>
      </c>
      <c r="G768" s="142">
        <f t="shared" si="88"/>
        <v>3193.2444868753273</v>
      </c>
      <c r="H768" s="142">
        <f t="shared" si="88"/>
        <v>3193.2444868753273</v>
      </c>
    </row>
    <row r="769" spans="1:8" s="35" customFormat="1" x14ac:dyDescent="0.3">
      <c r="A769" s="35" t="str">
        <f t="shared" si="87"/>
        <v>Block 3</v>
      </c>
      <c r="B769" s="137" t="s">
        <v>134</v>
      </c>
      <c r="C769" s="140" t="s">
        <v>71</v>
      </c>
      <c r="D769" s="141"/>
      <c r="E769" s="142">
        <v>0</v>
      </c>
      <c r="F769" s="142">
        <f t="shared" si="88"/>
        <v>0</v>
      </c>
      <c r="G769" s="142">
        <f t="shared" si="88"/>
        <v>0</v>
      </c>
      <c r="H769" s="142">
        <f t="shared" si="88"/>
        <v>0</v>
      </c>
    </row>
    <row r="770" spans="1:8" s="35" customFormat="1" x14ac:dyDescent="0.3">
      <c r="A770" s="35" t="str">
        <f t="shared" si="87"/>
        <v>Block 4</v>
      </c>
      <c r="B770" s="137" t="s">
        <v>134</v>
      </c>
      <c r="C770" s="140" t="s">
        <v>71</v>
      </c>
      <c r="D770" s="143"/>
      <c r="E770" s="142">
        <v>0</v>
      </c>
      <c r="F770" s="142">
        <f t="shared" si="88"/>
        <v>0</v>
      </c>
      <c r="G770" s="142">
        <f t="shared" si="88"/>
        <v>0</v>
      </c>
      <c r="H770" s="142">
        <f t="shared" si="88"/>
        <v>0</v>
      </c>
    </row>
    <row r="771" spans="1:8" s="35" customFormat="1" x14ac:dyDescent="0.3">
      <c r="A771" s="35" t="str">
        <f t="shared" si="87"/>
        <v>Total</v>
      </c>
      <c r="C771" s="137" t="s">
        <v>71</v>
      </c>
      <c r="D771" s="82">
        <f>SUM(D767:D770)</f>
        <v>0</v>
      </c>
      <c r="E771" s="82">
        <f t="shared" ref="E771" si="89">SUM(E767:E770)</f>
        <v>5000</v>
      </c>
      <c r="F771" s="82">
        <f t="shared" ref="F771" si="90">SUM(F767:F770)</f>
        <v>5000</v>
      </c>
      <c r="G771" s="82">
        <f t="shared" ref="G771" si="91">SUM(G767:G770)</f>
        <v>5000</v>
      </c>
      <c r="H771" s="82">
        <f t="shared" ref="H771" si="92">SUM(H767:H770)</f>
        <v>5000</v>
      </c>
    </row>
    <row r="772" spans="1:8" s="35" customFormat="1" x14ac:dyDescent="0.3"/>
    <row r="773" spans="1:8" s="35" customFormat="1" x14ac:dyDescent="0.3">
      <c r="A773" s="54" t="str">
        <f>Dist5</f>
        <v>Jemena</v>
      </c>
    </row>
    <row r="774" spans="1:8" s="35" customFormat="1" x14ac:dyDescent="0.3">
      <c r="A774" s="35" t="str">
        <f>A767</f>
        <v>Block 1</v>
      </c>
      <c r="B774" s="137" t="s">
        <v>134</v>
      </c>
      <c r="C774" s="140" t="s">
        <v>71</v>
      </c>
      <c r="D774" s="141"/>
      <c r="E774" s="142">
        <v>4500</v>
      </c>
      <c r="F774" s="142">
        <f>E774</f>
        <v>4500</v>
      </c>
      <c r="G774" s="142">
        <f t="shared" ref="G774:H774" si="93">F774</f>
        <v>4500</v>
      </c>
      <c r="H774" s="142">
        <f t="shared" si="93"/>
        <v>4500</v>
      </c>
    </row>
    <row r="775" spans="1:8" s="35" customFormat="1" x14ac:dyDescent="0.3">
      <c r="A775" s="35" t="str">
        <f t="shared" ref="A775:A778" si="94">A768</f>
        <v>Block 2</v>
      </c>
      <c r="B775" s="137" t="s">
        <v>134</v>
      </c>
      <c r="C775" s="140" t="s">
        <v>71</v>
      </c>
      <c r="D775" s="141"/>
      <c r="E775" s="142">
        <v>0</v>
      </c>
      <c r="F775" s="142">
        <f t="shared" ref="F775:H777" si="95">E775</f>
        <v>0</v>
      </c>
      <c r="G775" s="142">
        <f t="shared" si="95"/>
        <v>0</v>
      </c>
      <c r="H775" s="142">
        <f t="shared" si="95"/>
        <v>0</v>
      </c>
    </row>
    <row r="776" spans="1:8" s="35" customFormat="1" x14ac:dyDescent="0.3">
      <c r="A776" s="35" t="str">
        <f t="shared" si="94"/>
        <v>Block 3</v>
      </c>
      <c r="B776" s="137" t="s">
        <v>134</v>
      </c>
      <c r="C776" s="140" t="s">
        <v>71</v>
      </c>
      <c r="D776" s="141"/>
      <c r="E776" s="142">
        <v>0</v>
      </c>
      <c r="F776" s="142">
        <f t="shared" si="95"/>
        <v>0</v>
      </c>
      <c r="G776" s="142">
        <f t="shared" si="95"/>
        <v>0</v>
      </c>
      <c r="H776" s="142">
        <f t="shared" si="95"/>
        <v>0</v>
      </c>
    </row>
    <row r="777" spans="1:8" s="35" customFormat="1" x14ac:dyDescent="0.3">
      <c r="A777" s="35" t="str">
        <f t="shared" si="94"/>
        <v>Block 4</v>
      </c>
      <c r="B777" s="137" t="s">
        <v>134</v>
      </c>
      <c r="C777" s="140" t="s">
        <v>71</v>
      </c>
      <c r="D777" s="143"/>
      <c r="E777" s="142">
        <v>0</v>
      </c>
      <c r="F777" s="142">
        <f t="shared" si="95"/>
        <v>0</v>
      </c>
      <c r="G777" s="142">
        <f t="shared" si="95"/>
        <v>0</v>
      </c>
      <c r="H777" s="142">
        <f t="shared" si="95"/>
        <v>0</v>
      </c>
    </row>
    <row r="778" spans="1:8" s="35" customFormat="1" x14ac:dyDescent="0.3">
      <c r="A778" s="35" t="str">
        <f t="shared" si="94"/>
        <v>Total</v>
      </c>
      <c r="C778" s="137" t="s">
        <v>71</v>
      </c>
      <c r="D778" s="82">
        <f>SUM(D774:D777)</f>
        <v>0</v>
      </c>
      <c r="E778" s="82">
        <f t="shared" ref="E778" si="96">SUM(E774:E777)</f>
        <v>4500</v>
      </c>
      <c r="F778" s="82">
        <f t="shared" ref="F778" si="97">SUM(F774:F777)</f>
        <v>4500</v>
      </c>
      <c r="G778" s="82">
        <f t="shared" ref="G778" si="98">SUM(G774:G777)</f>
        <v>4500</v>
      </c>
      <c r="H778" s="82">
        <f t="shared" ref="H778" si="99">SUM(H774:H777)</f>
        <v>4500</v>
      </c>
    </row>
    <row r="780" spans="1:8" x14ac:dyDescent="0.3">
      <c r="A780" s="21" t="str">
        <f ca="1">LEFT(B2,3) &amp; " Jurisdiction Data"</f>
        <v>Inp Jurisdiction Data</v>
      </c>
      <c r="B780" s="104"/>
      <c r="C780" s="104"/>
      <c r="D780" s="104"/>
      <c r="E780" s="104"/>
      <c r="F780" s="104"/>
      <c r="G780" s="104"/>
      <c r="H780" s="104"/>
    </row>
    <row r="781" spans="1:8" x14ac:dyDescent="0.3">
      <c r="A781" s="54" t="str">
        <f>Dist1</f>
        <v>Citipower</v>
      </c>
      <c r="B781" s="104"/>
      <c r="C781" s="104"/>
      <c r="D781" s="104"/>
      <c r="E781" s="104"/>
      <c r="F781" s="104"/>
      <c r="G781" s="104"/>
      <c r="H781" s="104"/>
    </row>
    <row r="782" spans="1:8" x14ac:dyDescent="0.3">
      <c r="A782" s="87" t="s">
        <v>62</v>
      </c>
      <c r="B782" s="137" t="s">
        <v>139</v>
      </c>
      <c r="C782" s="138" t="s">
        <v>11</v>
      </c>
      <c r="D782" s="138"/>
      <c r="E782" s="138"/>
      <c r="F782" s="138"/>
      <c r="G782" s="108">
        <f t="shared" ref="G782" si="100">F782*(1+inflation)</f>
        <v>0</v>
      </c>
      <c r="H782" s="108">
        <f t="shared" ref="H782" si="101">G782*(1+inflation)</f>
        <v>0</v>
      </c>
    </row>
    <row r="783" spans="1:8" x14ac:dyDescent="0.3">
      <c r="A783" s="87" t="s">
        <v>99</v>
      </c>
      <c r="B783" s="137" t="s">
        <v>139</v>
      </c>
      <c r="C783" s="138" t="s">
        <v>11</v>
      </c>
      <c r="D783" s="138">
        <v>6.0539017275711737</v>
      </c>
      <c r="E783" s="138">
        <v>7.6393343312611606</v>
      </c>
      <c r="F783" s="138">
        <v>8.2301905802097366</v>
      </c>
      <c r="G783" s="60"/>
      <c r="H783" s="61"/>
    </row>
    <row r="784" spans="1:8" x14ac:dyDescent="0.3">
      <c r="A784" s="87" t="s">
        <v>100</v>
      </c>
      <c r="B784" s="137" t="s">
        <v>139</v>
      </c>
      <c r="C784" s="138" t="s">
        <v>11</v>
      </c>
      <c r="D784" s="138">
        <v>0.23799999999999999</v>
      </c>
      <c r="E784" s="138">
        <f>D784</f>
        <v>0.23799999999999999</v>
      </c>
      <c r="F784" s="138">
        <f>E784</f>
        <v>0.23799999999999999</v>
      </c>
      <c r="G784" s="62"/>
      <c r="H784" s="63"/>
    </row>
    <row r="785" spans="1:8" x14ac:dyDescent="0.3">
      <c r="A785" s="87" t="s">
        <v>116</v>
      </c>
      <c r="B785" s="137" t="s">
        <v>139</v>
      </c>
      <c r="C785" s="138" t="s">
        <v>11</v>
      </c>
      <c r="D785" s="138">
        <v>7.9999999999999988E-2</v>
      </c>
      <c r="E785" s="138">
        <v>7.9999999999999988E-2</v>
      </c>
      <c r="F785" s="138">
        <f>E785</f>
        <v>7.9999999999999988E-2</v>
      </c>
      <c r="G785" s="62"/>
      <c r="H785" s="63"/>
    </row>
    <row r="786" spans="1:8" x14ac:dyDescent="0.3">
      <c r="A786" s="87" t="s">
        <v>101</v>
      </c>
      <c r="B786" s="137" t="s">
        <v>146</v>
      </c>
      <c r="C786" s="138" t="s">
        <v>11</v>
      </c>
      <c r="D786" s="139"/>
      <c r="E786" s="139"/>
      <c r="F786" s="138">
        <v>2.2400000000000002</v>
      </c>
      <c r="G786" s="62"/>
      <c r="H786" s="63"/>
    </row>
    <row r="787" spans="1:8" x14ac:dyDescent="0.3">
      <c r="A787" s="87" t="s">
        <v>15</v>
      </c>
      <c r="B787" s="137" t="s">
        <v>139</v>
      </c>
      <c r="C787" s="138" t="s">
        <v>11</v>
      </c>
      <c r="D787" s="138">
        <v>0.25473754178777863</v>
      </c>
      <c r="E787" s="138">
        <v>0.44267417909205159</v>
      </c>
      <c r="F787" s="138">
        <v>0.6628193665535661</v>
      </c>
      <c r="G787" s="130"/>
      <c r="H787" s="131"/>
    </row>
    <row r="788" spans="1:8" x14ac:dyDescent="0.3">
      <c r="A788" s="87" t="s">
        <v>67</v>
      </c>
      <c r="B788" s="137" t="s">
        <v>139</v>
      </c>
      <c r="C788" s="138" t="s">
        <v>11</v>
      </c>
      <c r="D788" s="138">
        <v>0.43999227350852893</v>
      </c>
      <c r="E788" s="138">
        <v>0.52897443353026441</v>
      </c>
      <c r="F788" s="138">
        <v>0.2881821035194338</v>
      </c>
      <c r="G788" s="130"/>
      <c r="H788" s="131"/>
    </row>
    <row r="789" spans="1:8" x14ac:dyDescent="0.3">
      <c r="A789" s="64" t="str">
        <f>Scheme1</f>
        <v>Energy Saver Incentive</v>
      </c>
      <c r="B789" s="137" t="s">
        <v>140</v>
      </c>
      <c r="C789" s="138" t="s">
        <v>11</v>
      </c>
      <c r="D789" s="138">
        <v>0.39</v>
      </c>
      <c r="E789" s="138">
        <v>0.39</v>
      </c>
      <c r="F789" s="138">
        <v>0.38</v>
      </c>
      <c r="G789" s="138">
        <v>0.38</v>
      </c>
      <c r="H789" s="138">
        <v>0.38</v>
      </c>
    </row>
    <row r="790" spans="1:8" x14ac:dyDescent="0.3">
      <c r="A790" s="58" t="str">
        <f>Scheme2</f>
        <v>blank</v>
      </c>
      <c r="B790" s="137" t="s">
        <v>139</v>
      </c>
      <c r="C790" s="138"/>
      <c r="D790" s="138"/>
      <c r="E790" s="138"/>
      <c r="F790" s="138"/>
      <c r="G790" s="62"/>
      <c r="H790" s="63"/>
    </row>
    <row r="791" spans="1:8" x14ac:dyDescent="0.3">
      <c r="A791" s="104"/>
      <c r="B791" s="104"/>
      <c r="C791" s="104"/>
      <c r="D791" s="45"/>
      <c r="E791" s="63"/>
      <c r="F791" s="63"/>
      <c r="G791" s="63"/>
      <c r="H791" s="63"/>
    </row>
    <row r="792" spans="1:8" x14ac:dyDescent="0.3">
      <c r="A792" s="54" t="str">
        <f>Dist2</f>
        <v>Powercor</v>
      </c>
      <c r="B792" s="104"/>
      <c r="C792" s="104"/>
      <c r="D792" s="104"/>
      <c r="E792" s="104"/>
      <c r="F792" s="104"/>
      <c r="G792" s="104"/>
      <c r="H792" s="104"/>
    </row>
    <row r="793" spans="1:8" x14ac:dyDescent="0.3">
      <c r="A793" s="40" t="str">
        <f>A782</f>
        <v>Retail operating Cost</v>
      </c>
      <c r="B793" s="137" t="s">
        <v>139</v>
      </c>
      <c r="C793" s="138" t="s">
        <v>11</v>
      </c>
      <c r="D793" s="138"/>
      <c r="E793" s="138"/>
      <c r="F793" s="138"/>
      <c r="G793" s="108">
        <f t="shared" ref="G793" si="102">F793*(1+inflation)</f>
        <v>0</v>
      </c>
      <c r="H793" s="108">
        <f t="shared" ref="H793" si="103">G793*(1+inflation)</f>
        <v>0</v>
      </c>
    </row>
    <row r="794" spans="1:8" x14ac:dyDescent="0.3">
      <c r="A794" s="40" t="str">
        <f t="shared" ref="A794:A801" si="104">A783</f>
        <v>WEC</v>
      </c>
      <c r="B794" s="137" t="s">
        <v>139</v>
      </c>
      <c r="C794" s="138" t="s">
        <v>11</v>
      </c>
      <c r="D794" s="138">
        <v>7.0307156102082615</v>
      </c>
      <c r="E794" s="138">
        <v>6.1332756316371908</v>
      </c>
      <c r="F794" s="138">
        <v>7.7394951560687719</v>
      </c>
      <c r="G794" s="132"/>
      <c r="H794" s="133"/>
    </row>
    <row r="795" spans="1:8" x14ac:dyDescent="0.3">
      <c r="A795" s="40" t="str">
        <f t="shared" si="104"/>
        <v xml:space="preserve">Losses </v>
      </c>
      <c r="B795" s="137" t="s">
        <v>139</v>
      </c>
      <c r="C795" s="138" t="s">
        <v>11</v>
      </c>
      <c r="D795" s="138">
        <v>0.26300000000000001</v>
      </c>
      <c r="E795" s="138">
        <f>D795</f>
        <v>0.26300000000000001</v>
      </c>
      <c r="F795" s="138">
        <f>E795</f>
        <v>0.26300000000000001</v>
      </c>
      <c r="G795" s="130"/>
      <c r="H795" s="131"/>
    </row>
    <row r="796" spans="1:8" x14ac:dyDescent="0.3">
      <c r="A796" s="40" t="str">
        <f t="shared" si="104"/>
        <v>Market Fees</v>
      </c>
      <c r="B796" s="137" t="s">
        <v>139</v>
      </c>
      <c r="C796" s="138" t="s">
        <v>11</v>
      </c>
      <c r="D796" s="138">
        <v>7.9999999999999988E-2</v>
      </c>
      <c r="E796" s="138">
        <f>D796</f>
        <v>7.9999999999999988E-2</v>
      </c>
      <c r="F796" s="138">
        <f>E796</f>
        <v>7.9999999999999988E-2</v>
      </c>
      <c r="G796" s="130"/>
      <c r="H796" s="131"/>
    </row>
    <row r="797" spans="1:8" x14ac:dyDescent="0.3">
      <c r="A797" s="40" t="str">
        <f t="shared" si="104"/>
        <v>Carbon</v>
      </c>
      <c r="B797" s="137" t="s">
        <v>146</v>
      </c>
      <c r="C797" s="138" t="s">
        <v>11</v>
      </c>
      <c r="D797" s="139"/>
      <c r="E797" s="139"/>
      <c r="F797" s="138">
        <v>2.2400000000000002</v>
      </c>
      <c r="G797" s="130"/>
      <c r="H797" s="131"/>
    </row>
    <row r="798" spans="1:8" x14ac:dyDescent="0.3">
      <c r="A798" s="40" t="str">
        <f t="shared" si="104"/>
        <v>LRET</v>
      </c>
      <c r="B798" s="137" t="s">
        <v>139</v>
      </c>
      <c r="C798" s="138" t="s">
        <v>11</v>
      </c>
      <c r="D798" s="138">
        <v>0.25473754178777863</v>
      </c>
      <c r="E798" s="138">
        <v>0.44267417909205159</v>
      </c>
      <c r="F798" s="138">
        <v>0.6628193665535661</v>
      </c>
      <c r="G798" s="130"/>
      <c r="H798" s="131"/>
    </row>
    <row r="799" spans="1:8" x14ac:dyDescent="0.3">
      <c r="A799" s="40" t="str">
        <f t="shared" si="104"/>
        <v>Small scale renewable energy scheme</v>
      </c>
      <c r="B799" s="137" t="s">
        <v>139</v>
      </c>
      <c r="C799" s="138" t="s">
        <v>11</v>
      </c>
      <c r="D799" s="138">
        <v>0.43999227350852893</v>
      </c>
      <c r="E799" s="138">
        <v>0.43999227350852893</v>
      </c>
      <c r="F799" s="138">
        <v>0.43999227350852893</v>
      </c>
      <c r="G799" s="130"/>
      <c r="H799" s="131"/>
    </row>
    <row r="800" spans="1:8" x14ac:dyDescent="0.3">
      <c r="A800" s="40" t="str">
        <f t="shared" si="104"/>
        <v>Energy Saver Incentive</v>
      </c>
      <c r="B800" s="137" t="s">
        <v>140</v>
      </c>
      <c r="C800" s="138" t="s">
        <v>11</v>
      </c>
      <c r="D800" s="138">
        <v>0.39</v>
      </c>
      <c r="E800" s="138">
        <v>0.39</v>
      </c>
      <c r="F800" s="138">
        <v>0.38</v>
      </c>
      <c r="G800" s="138">
        <v>0.38</v>
      </c>
      <c r="H800" s="138">
        <v>0.38</v>
      </c>
    </row>
    <row r="801" spans="1:8" x14ac:dyDescent="0.3">
      <c r="A801" s="40" t="str">
        <f t="shared" si="104"/>
        <v>blank</v>
      </c>
      <c r="B801" s="137" t="s">
        <v>139</v>
      </c>
      <c r="C801" s="138"/>
      <c r="D801" s="138"/>
      <c r="E801" s="138"/>
      <c r="F801" s="138"/>
      <c r="G801" s="62"/>
      <c r="H801" s="63"/>
    </row>
    <row r="802" spans="1:8" x14ac:dyDescent="0.3">
      <c r="A802" s="58"/>
      <c r="B802" s="104"/>
      <c r="C802" s="63"/>
      <c r="D802" s="63"/>
      <c r="E802" s="63"/>
      <c r="F802" s="63"/>
      <c r="G802" s="63"/>
      <c r="H802" s="63"/>
    </row>
    <row r="803" spans="1:8" x14ac:dyDescent="0.3">
      <c r="A803" s="54" t="str">
        <f>Dist3</f>
        <v>SP Ausnet</v>
      </c>
      <c r="B803" s="104"/>
      <c r="C803" s="63"/>
      <c r="D803" s="63"/>
      <c r="E803" s="63"/>
      <c r="F803" s="63"/>
      <c r="G803" s="63"/>
      <c r="H803" s="63"/>
    </row>
    <row r="804" spans="1:8" x14ac:dyDescent="0.3">
      <c r="A804" s="40" t="str">
        <f>A793</f>
        <v>Retail operating Cost</v>
      </c>
      <c r="B804" s="137" t="s">
        <v>139</v>
      </c>
      <c r="C804" s="138" t="s">
        <v>11</v>
      </c>
      <c r="D804" s="138"/>
      <c r="E804" s="138"/>
      <c r="F804" s="138"/>
      <c r="G804" s="108">
        <f t="shared" ref="G804" si="105">F804*(1+inflation)</f>
        <v>0</v>
      </c>
      <c r="H804" s="108">
        <f t="shared" ref="H804" si="106">G804*(1+inflation)</f>
        <v>0</v>
      </c>
    </row>
    <row r="805" spans="1:8" x14ac:dyDescent="0.3">
      <c r="A805" s="40" t="str">
        <f t="shared" ref="A805:A812" si="107">A794</f>
        <v>WEC</v>
      </c>
      <c r="B805" s="137" t="s">
        <v>139</v>
      </c>
      <c r="C805" s="138" t="s">
        <v>11</v>
      </c>
      <c r="D805" s="138">
        <v>7.3702430790518818</v>
      </c>
      <c r="E805" s="138">
        <v>6.4294639098128092</v>
      </c>
      <c r="F805" s="138">
        <v>8.1132510219228937</v>
      </c>
      <c r="G805" s="132"/>
      <c r="H805" s="133"/>
    </row>
    <row r="806" spans="1:8" x14ac:dyDescent="0.3">
      <c r="A806" s="40" t="str">
        <f t="shared" si="107"/>
        <v xml:space="preserve">Losses </v>
      </c>
      <c r="B806" s="137" t="s">
        <v>139</v>
      </c>
      <c r="C806" s="138" t="s">
        <v>11</v>
      </c>
      <c r="D806" s="138">
        <v>0.42099999999999999</v>
      </c>
      <c r="E806" s="138">
        <f>D806</f>
        <v>0.42099999999999999</v>
      </c>
      <c r="F806" s="138">
        <f>E806</f>
        <v>0.42099999999999999</v>
      </c>
      <c r="G806" s="130"/>
      <c r="H806" s="131"/>
    </row>
    <row r="807" spans="1:8" x14ac:dyDescent="0.3">
      <c r="A807" s="40" t="str">
        <f t="shared" si="107"/>
        <v>Market Fees</v>
      </c>
      <c r="B807" s="137" t="s">
        <v>139</v>
      </c>
      <c r="C807" s="138" t="s">
        <v>11</v>
      </c>
      <c r="D807" s="138">
        <v>7.9999999999999988E-2</v>
      </c>
      <c r="E807" s="138">
        <f>D807</f>
        <v>7.9999999999999988E-2</v>
      </c>
      <c r="F807" s="138">
        <f>E807</f>
        <v>7.9999999999999988E-2</v>
      </c>
      <c r="G807" s="130"/>
      <c r="H807" s="131"/>
    </row>
    <row r="808" spans="1:8" x14ac:dyDescent="0.3">
      <c r="A808" s="40" t="str">
        <f t="shared" si="107"/>
        <v>Carbon</v>
      </c>
      <c r="B808" s="137" t="s">
        <v>146</v>
      </c>
      <c r="C808" s="138" t="s">
        <v>11</v>
      </c>
      <c r="D808" s="139"/>
      <c r="E808" s="139"/>
      <c r="F808" s="138">
        <v>2.2400000000000002</v>
      </c>
      <c r="G808" s="130"/>
      <c r="H808" s="131"/>
    </row>
    <row r="809" spans="1:8" x14ac:dyDescent="0.3">
      <c r="A809" s="40" t="str">
        <f t="shared" si="107"/>
        <v>LRET</v>
      </c>
      <c r="B809" s="137" t="s">
        <v>139</v>
      </c>
      <c r="C809" s="138" t="s">
        <v>11</v>
      </c>
      <c r="D809" s="138">
        <v>0.25473754178777863</v>
      </c>
      <c r="E809" s="138">
        <v>0.44267417909205159</v>
      </c>
      <c r="F809" s="138">
        <v>0.6628193665535661</v>
      </c>
      <c r="G809" s="130"/>
      <c r="H809" s="131"/>
    </row>
    <row r="810" spans="1:8" x14ac:dyDescent="0.3">
      <c r="A810" s="40" t="str">
        <f t="shared" si="107"/>
        <v>Small scale renewable energy scheme</v>
      </c>
      <c r="B810" s="137" t="s">
        <v>139</v>
      </c>
      <c r="C810" s="138" t="s">
        <v>11</v>
      </c>
      <c r="D810" s="138">
        <v>0.43999227350852893</v>
      </c>
      <c r="E810" s="138">
        <v>0.52897443353026441</v>
      </c>
      <c r="F810" s="138">
        <v>0.2881821035194338</v>
      </c>
      <c r="G810" s="130"/>
      <c r="H810" s="131"/>
    </row>
    <row r="811" spans="1:8" x14ac:dyDescent="0.3">
      <c r="A811" s="40" t="str">
        <f t="shared" si="107"/>
        <v>Energy Saver Incentive</v>
      </c>
      <c r="B811" s="137" t="s">
        <v>140</v>
      </c>
      <c r="C811" s="138" t="s">
        <v>11</v>
      </c>
      <c r="D811" s="138">
        <v>0.39</v>
      </c>
      <c r="E811" s="138">
        <v>0.39</v>
      </c>
      <c r="F811" s="138">
        <v>0.38</v>
      </c>
      <c r="G811" s="138">
        <v>0.38</v>
      </c>
      <c r="H811" s="138">
        <v>0.38</v>
      </c>
    </row>
    <row r="812" spans="1:8" x14ac:dyDescent="0.3">
      <c r="A812" s="40" t="str">
        <f t="shared" si="107"/>
        <v>blank</v>
      </c>
      <c r="B812" s="137" t="s">
        <v>139</v>
      </c>
      <c r="C812" s="138"/>
      <c r="D812" s="138"/>
      <c r="E812" s="138"/>
      <c r="F812" s="138"/>
      <c r="G812" s="62"/>
      <c r="H812" s="63"/>
    </row>
    <row r="813" spans="1:8" x14ac:dyDescent="0.3">
      <c r="B813" s="63"/>
      <c r="C813" s="63"/>
      <c r="D813" s="63"/>
      <c r="E813" s="63"/>
      <c r="F813" s="63"/>
      <c r="G813" s="63"/>
      <c r="H813" s="63"/>
    </row>
    <row r="814" spans="1:8" x14ac:dyDescent="0.3">
      <c r="A814" s="54" t="str">
        <f>Dist4</f>
        <v>United</v>
      </c>
      <c r="B814" s="104"/>
      <c r="C814" s="104"/>
      <c r="D814" s="104"/>
      <c r="E814" s="104"/>
      <c r="F814" s="104"/>
      <c r="G814" s="104"/>
      <c r="H814" s="104"/>
    </row>
    <row r="815" spans="1:8" x14ac:dyDescent="0.3">
      <c r="A815" s="40" t="str">
        <f>A804</f>
        <v>Retail operating Cost</v>
      </c>
      <c r="B815" s="137" t="s">
        <v>139</v>
      </c>
      <c r="C815" s="138" t="s">
        <v>11</v>
      </c>
      <c r="D815" s="138"/>
      <c r="E815" s="138"/>
      <c r="F815" s="138"/>
      <c r="G815" s="108">
        <f t="shared" ref="G815" si="108">F815*(1+inflation)</f>
        <v>0</v>
      </c>
      <c r="H815" s="108">
        <f t="shared" ref="H815" si="109">G815*(1+inflation)</f>
        <v>0</v>
      </c>
    </row>
    <row r="816" spans="1:8" x14ac:dyDescent="0.3">
      <c r="A816" s="40" t="str">
        <f t="shared" ref="A816:A823" si="110">A805</f>
        <v>WEC</v>
      </c>
      <c r="B816" s="137" t="s">
        <v>139</v>
      </c>
      <c r="C816" s="138" t="s">
        <v>11</v>
      </c>
      <c r="D816" s="138">
        <v>7.5714250313030824</v>
      </c>
      <c r="E816" s="138">
        <v>6.6049658691689688</v>
      </c>
      <c r="F816" s="138">
        <v>8.3347145017820239</v>
      </c>
      <c r="G816" s="132"/>
      <c r="H816" s="133"/>
    </row>
    <row r="817" spans="1:8" x14ac:dyDescent="0.3">
      <c r="A817" s="40" t="str">
        <f t="shared" si="110"/>
        <v xml:space="preserve">Losses </v>
      </c>
      <c r="B817" s="137" t="s">
        <v>139</v>
      </c>
      <c r="C817" s="138" t="s">
        <v>11</v>
      </c>
      <c r="D817" s="138">
        <v>0.27300000000000002</v>
      </c>
      <c r="E817" s="138">
        <f>D817</f>
        <v>0.27300000000000002</v>
      </c>
      <c r="F817" s="138">
        <f>E817</f>
        <v>0.27300000000000002</v>
      </c>
      <c r="G817" s="130"/>
      <c r="H817" s="131"/>
    </row>
    <row r="818" spans="1:8" x14ac:dyDescent="0.3">
      <c r="A818" s="40" t="str">
        <f t="shared" si="110"/>
        <v>Market Fees</v>
      </c>
      <c r="B818" s="137" t="s">
        <v>139</v>
      </c>
      <c r="C818" s="138" t="s">
        <v>11</v>
      </c>
      <c r="D818" s="138">
        <v>7.9999999999999988E-2</v>
      </c>
      <c r="E818" s="138">
        <f>D818</f>
        <v>7.9999999999999988E-2</v>
      </c>
      <c r="F818" s="138">
        <f>E818</f>
        <v>7.9999999999999988E-2</v>
      </c>
      <c r="G818" s="130"/>
      <c r="H818" s="131"/>
    </row>
    <row r="819" spans="1:8" x14ac:dyDescent="0.3">
      <c r="A819" s="40" t="str">
        <f t="shared" si="110"/>
        <v>Carbon</v>
      </c>
      <c r="B819" s="137" t="s">
        <v>146</v>
      </c>
      <c r="C819" s="138" t="s">
        <v>11</v>
      </c>
      <c r="D819" s="139"/>
      <c r="E819" s="139"/>
      <c r="F819" s="138">
        <v>2.2400000000000002</v>
      </c>
      <c r="G819" s="130"/>
      <c r="H819" s="131"/>
    </row>
    <row r="820" spans="1:8" x14ac:dyDescent="0.3">
      <c r="A820" s="40" t="str">
        <f t="shared" si="110"/>
        <v>LRET</v>
      </c>
      <c r="B820" s="137" t="s">
        <v>139</v>
      </c>
      <c r="C820" s="138" t="s">
        <v>11</v>
      </c>
      <c r="D820" s="138">
        <v>0.25473754178777863</v>
      </c>
      <c r="E820" s="138">
        <v>0.44267417909205159</v>
      </c>
      <c r="F820" s="138">
        <v>0.6628193665535661</v>
      </c>
      <c r="G820" s="130"/>
      <c r="H820" s="131"/>
    </row>
    <row r="821" spans="1:8" x14ac:dyDescent="0.3">
      <c r="A821" s="40" t="str">
        <f t="shared" si="110"/>
        <v>Small scale renewable energy scheme</v>
      </c>
      <c r="B821" s="137" t="s">
        <v>139</v>
      </c>
      <c r="C821" s="138" t="s">
        <v>11</v>
      </c>
      <c r="D821" s="138">
        <v>0.43999227350852893</v>
      </c>
      <c r="E821" s="138">
        <v>0.52897443353026441</v>
      </c>
      <c r="F821" s="138">
        <v>0.2881821035194338</v>
      </c>
      <c r="G821" s="130"/>
      <c r="H821" s="131"/>
    </row>
    <row r="822" spans="1:8" x14ac:dyDescent="0.3">
      <c r="A822" s="40" t="str">
        <f t="shared" si="110"/>
        <v>Energy Saver Incentive</v>
      </c>
      <c r="B822" s="137" t="s">
        <v>140</v>
      </c>
      <c r="C822" s="138" t="s">
        <v>11</v>
      </c>
      <c r="D822" s="138">
        <v>0.39</v>
      </c>
      <c r="E822" s="138">
        <v>0.39</v>
      </c>
      <c r="F822" s="138">
        <v>0.38</v>
      </c>
      <c r="G822" s="138">
        <v>0.38</v>
      </c>
      <c r="H822" s="138">
        <v>0.38</v>
      </c>
    </row>
    <row r="823" spans="1:8" x14ac:dyDescent="0.3">
      <c r="A823" s="40" t="str">
        <f t="shared" si="110"/>
        <v>blank</v>
      </c>
      <c r="B823" s="137" t="s">
        <v>139</v>
      </c>
      <c r="C823" s="138"/>
      <c r="D823" s="138"/>
      <c r="E823" s="138"/>
      <c r="F823" s="138"/>
      <c r="G823" s="62"/>
      <c r="H823" s="63"/>
    </row>
    <row r="824" spans="1:8" ht="13.5" x14ac:dyDescent="0.25">
      <c r="G824" s="66"/>
      <c r="H824" s="66"/>
    </row>
    <row r="825" spans="1:8" x14ac:dyDescent="0.3">
      <c r="A825" s="54" t="str">
        <f>Dist5</f>
        <v>Jemena</v>
      </c>
      <c r="B825" s="104"/>
      <c r="C825" s="104"/>
      <c r="D825" s="104"/>
      <c r="E825" s="104"/>
      <c r="F825" s="104"/>
      <c r="G825" s="104"/>
      <c r="H825" s="104"/>
    </row>
    <row r="826" spans="1:8" x14ac:dyDescent="0.3">
      <c r="A826" s="40" t="str">
        <f>A815</f>
        <v>Retail operating Cost</v>
      </c>
      <c r="B826" s="137" t="s">
        <v>139</v>
      </c>
      <c r="C826" s="138" t="s">
        <v>11</v>
      </c>
      <c r="D826" s="138"/>
      <c r="E826" s="138"/>
      <c r="F826" s="138"/>
      <c r="G826" s="108">
        <f t="shared" ref="G826" si="111">F826*(1+inflation)</f>
        <v>0</v>
      </c>
      <c r="H826" s="108">
        <f t="shared" ref="H826" si="112">G826*(1+inflation)</f>
        <v>0</v>
      </c>
    </row>
    <row r="827" spans="1:8" x14ac:dyDescent="0.3">
      <c r="A827" s="40" t="str">
        <f t="shared" ref="A827:A834" si="113">A816</f>
        <v>WEC</v>
      </c>
      <c r="B827" s="137" t="s">
        <v>139</v>
      </c>
      <c r="C827" s="138" t="s">
        <v>11</v>
      </c>
      <c r="D827" s="138">
        <v>7.4552776975079666</v>
      </c>
      <c r="E827" s="138">
        <v>6.5036442325761161</v>
      </c>
      <c r="F827" s="138">
        <v>8.2068581387693591</v>
      </c>
      <c r="G827" s="132"/>
      <c r="H827" s="133"/>
    </row>
    <row r="828" spans="1:8" x14ac:dyDescent="0.3">
      <c r="A828" s="40" t="str">
        <f t="shared" si="113"/>
        <v xml:space="preserve">Losses </v>
      </c>
      <c r="B828" s="137" t="s">
        <v>139</v>
      </c>
      <c r="C828" s="138" t="s">
        <v>11</v>
      </c>
      <c r="D828" s="138">
        <v>0.27300000000000002</v>
      </c>
      <c r="E828" s="138">
        <f>D828</f>
        <v>0.27300000000000002</v>
      </c>
      <c r="F828" s="138">
        <f>E828</f>
        <v>0.27300000000000002</v>
      </c>
      <c r="G828" s="130"/>
      <c r="H828" s="131"/>
    </row>
    <row r="829" spans="1:8" x14ac:dyDescent="0.3">
      <c r="A829" s="40" t="str">
        <f t="shared" si="113"/>
        <v>Market Fees</v>
      </c>
      <c r="B829" s="137" t="s">
        <v>139</v>
      </c>
      <c r="C829" s="138" t="s">
        <v>11</v>
      </c>
      <c r="D829" s="138">
        <v>7.9999999999999988E-2</v>
      </c>
      <c r="E829" s="138">
        <f>D829</f>
        <v>7.9999999999999988E-2</v>
      </c>
      <c r="F829" s="138">
        <f>E829</f>
        <v>7.9999999999999988E-2</v>
      </c>
      <c r="G829" s="130"/>
      <c r="H829" s="131"/>
    </row>
    <row r="830" spans="1:8" x14ac:dyDescent="0.3">
      <c r="A830" s="40" t="str">
        <f t="shared" si="113"/>
        <v>Carbon</v>
      </c>
      <c r="B830" s="137" t="s">
        <v>146</v>
      </c>
      <c r="C830" s="138" t="s">
        <v>11</v>
      </c>
      <c r="D830" s="139"/>
      <c r="E830" s="139"/>
      <c r="F830" s="138">
        <v>2.2400000000000002</v>
      </c>
      <c r="G830" s="130"/>
      <c r="H830" s="131"/>
    </row>
    <row r="831" spans="1:8" x14ac:dyDescent="0.3">
      <c r="A831" s="40" t="str">
        <f t="shared" si="113"/>
        <v>LRET</v>
      </c>
      <c r="B831" s="137" t="s">
        <v>139</v>
      </c>
      <c r="C831" s="138" t="s">
        <v>11</v>
      </c>
      <c r="D831" s="138">
        <v>0.25473754178777863</v>
      </c>
      <c r="E831" s="138">
        <v>0.44267417909205159</v>
      </c>
      <c r="F831" s="138">
        <v>0.6628193665535661</v>
      </c>
      <c r="G831" s="130"/>
      <c r="H831" s="131"/>
    </row>
    <row r="832" spans="1:8" x14ac:dyDescent="0.3">
      <c r="A832" s="40" t="str">
        <f t="shared" si="113"/>
        <v>Small scale renewable energy scheme</v>
      </c>
      <c r="B832" s="137" t="s">
        <v>139</v>
      </c>
      <c r="C832" s="138" t="s">
        <v>11</v>
      </c>
      <c r="D832" s="138">
        <v>0.43999227350852893</v>
      </c>
      <c r="E832" s="138">
        <v>0.52897443353026441</v>
      </c>
      <c r="F832" s="138">
        <v>0.2881821035194338</v>
      </c>
      <c r="G832" s="130"/>
      <c r="H832" s="131"/>
    </row>
    <row r="833" spans="1:8" x14ac:dyDescent="0.3">
      <c r="A833" s="40" t="str">
        <f t="shared" si="113"/>
        <v>Energy Saver Incentive</v>
      </c>
      <c r="B833" s="137" t="s">
        <v>140</v>
      </c>
      <c r="C833" s="138" t="s">
        <v>11</v>
      </c>
      <c r="D833" s="138">
        <v>0.39</v>
      </c>
      <c r="E833" s="138">
        <v>0.39</v>
      </c>
      <c r="F833" s="138">
        <v>0.38</v>
      </c>
      <c r="G833" s="138">
        <v>0.38</v>
      </c>
      <c r="H833" s="138">
        <v>0.38</v>
      </c>
    </row>
    <row r="834" spans="1:8" x14ac:dyDescent="0.3">
      <c r="A834" s="40" t="str">
        <f t="shared" si="113"/>
        <v>blank</v>
      </c>
      <c r="B834" s="137" t="s">
        <v>139</v>
      </c>
      <c r="C834" s="138"/>
      <c r="D834" s="138"/>
      <c r="E834" s="138"/>
      <c r="F834" s="138"/>
      <c r="G834" s="62"/>
      <c r="H834" s="63"/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51" fitToHeight="0" orientation="portrait" horizontalDpi="300" verticalDpi="300" r:id="rId1"/>
  <rowBreaks count="11" manualBreakCount="11">
    <brk id="76" max="16383" man="1"/>
    <brk id="156" max="16383" man="1"/>
    <brk id="220" max="16383" man="1"/>
    <brk id="253" max="16383" man="1"/>
    <brk id="285" max="16383" man="1"/>
    <brk id="361" max="16383" man="1"/>
    <brk id="404" max="16383" man="1"/>
    <brk id="479" max="16383" man="1"/>
    <brk id="558" max="16383" man="1"/>
    <brk id="638" max="16383" man="1"/>
    <brk id="711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164"/>
  <sheetViews>
    <sheetView zoomScaleNormal="100" workbookViewId="0">
      <pane xSplit="3" ySplit="4" topLeftCell="D5" activePane="bottomRight" state="frozenSplit"/>
      <selection activeCell="I13" sqref="I13"/>
      <selection pane="topRight" activeCell="I13" sqref="I13"/>
      <selection pane="bottomLeft" activeCell="I13" sqref="I13"/>
      <selection pane="bottomRight" activeCell="K13" sqref="K13"/>
    </sheetView>
  </sheetViews>
  <sheetFormatPr defaultColWidth="9.140625" defaultRowHeight="16.5" x14ac:dyDescent="0.3"/>
  <cols>
    <col min="1" max="1" width="28.42578125" style="17" customWidth="1"/>
    <col min="2" max="2" width="14.140625" style="17" customWidth="1"/>
    <col min="3" max="3" width="9.140625" style="17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" style="17" bestFit="1" customWidth="1"/>
    <col min="10" max="10" width="10.42578125" style="17" bestFit="1" customWidth="1"/>
    <col min="11" max="14" width="9.140625" style="17"/>
    <col min="15" max="15" width="10.5703125" style="17" bestFit="1" customWidth="1"/>
    <col min="16" max="16384" width="9.140625" style="17"/>
  </cols>
  <sheetData>
    <row r="1" spans="1:16" s="22" customFormat="1" ht="23.25" x14ac:dyDescent="0.35">
      <c r="A1" s="22" t="s">
        <v>1</v>
      </c>
      <c r="B1" s="24" t="str">
        <f ca="1">'Input Global'!B1</f>
        <v>2012 Pricing Trends - model - Vic</v>
      </c>
      <c r="C1" s="24"/>
      <c r="D1" s="99"/>
      <c r="E1" s="99"/>
      <c r="F1" s="99"/>
      <c r="G1" s="98"/>
      <c r="H1" s="98"/>
      <c r="I1" s="79" t="s">
        <v>30</v>
      </c>
    </row>
    <row r="2" spans="1:16" s="22" customFormat="1" ht="19.5" thickBot="1" x14ac:dyDescent="0.35">
      <c r="B2" s="25" t="str">
        <f ca="1">RIGHT(CELL("filename",B2),LEN(CELL("filename",B2))-SEARCH("]",CELL("filename",B2)))</f>
        <v>Calc (Jurisdiction)</v>
      </c>
      <c r="C2" s="26"/>
      <c r="D2" s="100"/>
      <c r="E2" s="100"/>
      <c r="F2" s="100"/>
      <c r="G2" s="98"/>
      <c r="H2" s="98"/>
      <c r="I2" s="85" t="s">
        <v>24</v>
      </c>
    </row>
    <row r="3" spans="1:16" s="22" customFormat="1" ht="17.25" thickBot="1" x14ac:dyDescent="0.35">
      <c r="D3" s="98"/>
      <c r="E3" s="98"/>
      <c r="F3" s="98"/>
      <c r="G3" s="98"/>
      <c r="H3" s="98"/>
      <c r="I3" s="86" t="s">
        <v>31</v>
      </c>
    </row>
    <row r="4" spans="1:16" s="22" customFormat="1" ht="15.75" x14ac:dyDescent="0.3">
      <c r="B4" s="27"/>
      <c r="C4" s="27" t="s">
        <v>8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6" t="s">
        <v>37</v>
      </c>
      <c r="B6" s="21" t="s">
        <v>41</v>
      </c>
    </row>
    <row r="7" spans="1:16" x14ac:dyDescent="0.3">
      <c r="A7" s="18" t="str">
        <f>Dist1</f>
        <v>Citipower</v>
      </c>
    </row>
    <row r="8" spans="1:16" x14ac:dyDescent="0.3">
      <c r="K8" s="97"/>
      <c r="L8" s="97"/>
      <c r="M8" s="97"/>
    </row>
    <row r="9" spans="1:16" x14ac:dyDescent="0.3">
      <c r="A9" s="17" t="s">
        <v>39</v>
      </c>
      <c r="B9" s="17" t="s">
        <v>36</v>
      </c>
      <c r="C9" s="17" t="s">
        <v>55</v>
      </c>
      <c r="D9" s="108">
        <f>'Input General'!D8+(SUMPRODUCT('Input General'!D9:D12,'Input General'!D111:D114)*'Input Global'!D18)</f>
        <v>0</v>
      </c>
      <c r="E9" s="108">
        <f>'Input General'!E8+(SUMPRODUCT('Input General'!E9:E12,'Input General'!E111:E114)*'Input Global'!E18)</f>
        <v>4694.603625148784</v>
      </c>
      <c r="F9" s="108">
        <f>'Input General'!F8+(SUMPRODUCT('Input General'!F9:F12,'Input General'!F111:F114)*'Input Global'!F18)</f>
        <v>4697.2238014486502</v>
      </c>
      <c r="G9" s="108">
        <f>'Input General'!G8+(SUMPRODUCT('Input General'!G9:G12,'Input General'!G111:G114)*'Input Global'!G18)</f>
        <v>4685.8090720490854</v>
      </c>
      <c r="H9" s="108">
        <f>'Input General'!H8+(SUMPRODUCT('Input General'!H9:H12,'Input General'!H111:H114)*'Input Global'!H18)</f>
        <v>4700.0585595945067</v>
      </c>
      <c r="J9" s="97"/>
      <c r="K9" s="97"/>
      <c r="L9" s="97"/>
      <c r="M9" s="97"/>
    </row>
    <row r="10" spans="1:16" x14ac:dyDescent="0.3">
      <c r="A10" s="17" t="s">
        <v>38</v>
      </c>
      <c r="B10" s="17" t="s">
        <v>36</v>
      </c>
      <c r="C10" s="17" t="s">
        <v>55</v>
      </c>
      <c r="D10" s="108">
        <f>'Input General'!D40+SUMPRODUCT('Input General'!D41:D44,'Input General'!D111:D114)*'Input Global'!D18+'Input General'!D71</f>
        <v>0</v>
      </c>
      <c r="E10" s="108">
        <f>'Input General'!E40+SUMPRODUCT('Input General'!E41:E44,'Input General'!E111:E114)*'Input Global'!E18+'Input General'!E71</f>
        <v>32059.456764202627</v>
      </c>
      <c r="F10" s="108">
        <f>'Input General'!F40+SUMPRODUCT('Input General'!F41:F44,'Input General'!F111:F114)*'Input Global'!F18+'Input General'!F71</f>
        <v>35159.618836465401</v>
      </c>
      <c r="G10" s="108">
        <f>'Input General'!G40+SUMPRODUCT('Input General'!G41:G44,'Input General'!G111:G114)*'Input Global'!G18+'Input General'!G71</f>
        <v>39043.377165682046</v>
      </c>
      <c r="H10" s="108">
        <f>'Input General'!H40+SUMPRODUCT('Input General'!H41:H44,'Input General'!H111:H114)*'Input Global'!H18+'Input General'!H71</f>
        <v>43196.416979369867</v>
      </c>
      <c r="J10" s="97"/>
      <c r="K10" s="97"/>
      <c r="L10" s="97"/>
      <c r="M10" s="97"/>
      <c r="P10" s="29"/>
    </row>
    <row r="11" spans="1:16" x14ac:dyDescent="0.3">
      <c r="J11" s="97"/>
      <c r="K11" s="97"/>
      <c r="L11" s="97"/>
      <c r="M11" s="97"/>
      <c r="O11" s="29"/>
      <c r="P11" s="29"/>
    </row>
    <row r="12" spans="1:16" x14ac:dyDescent="0.3">
      <c r="A12" s="17" t="s">
        <v>156</v>
      </c>
      <c r="B12" s="17" t="s">
        <v>36</v>
      </c>
      <c r="C12" s="17" t="s">
        <v>55</v>
      </c>
      <c r="D12" s="108">
        <f ca="1">VLOOKUP($B$2,'Input General'!$A$223:$H$227,COLUMN(D12),FALSE)*'Input Global'!D33+VLOOKUP($B$2,dist1wholesale,COLUMN('Calc (Jurisdiction)'!D8),FALSE)*'Input Global'!D18</f>
        <v>30197.211168410773</v>
      </c>
      <c r="E12" s="108">
        <f ca="1">VLOOKUP($B$2,'Input General'!$A$223:$H$227,COLUMN(E12),FALSE)*'Input Global'!E33+VLOOKUP($B$2,dist1wholesale,COLUMN('Calc (Jurisdiction)'!E8),FALSE)*'Input Global'!E18</f>
        <v>84698.965685383737</v>
      </c>
      <c r="F12" s="108">
        <f ca="1">VLOOKUP($B$2,'Input General'!$A$223:$H$227,COLUMN(F12),FALSE)*'Input Global'!F33+VLOOKUP($B$2,dist1wholesale,COLUMN('Calc (Jurisdiction)'!F8),FALSE)*'Input Global'!F18</f>
        <v>77515.170863852618</v>
      </c>
      <c r="G12" s="108">
        <f ca="1">(VLOOKUP($B$2,'Input General'!$A$223:$H$227,COLUMN(G12),FALSE)*'Input Global'!G33)+(VLOOKUP($B$2,dist1wholesale,COLUMN('Calc (Jurisdiction)'!G8),FALSE)*'Input Global'!G18)</f>
        <v>73983.7700157402</v>
      </c>
      <c r="H12" s="108">
        <f ca="1">VLOOKUP($B$2,'Input General'!$A$223:$H$227,COLUMN(H12),FALSE)*'Input Global'!H33+VLOOKUP($B$2,dist1wholesale,COLUMN('Calc (Jurisdiction)'!H8),FALSE)*'Input Global'!H18</f>
        <v>77252.166002058453</v>
      </c>
      <c r="J12" s="97"/>
      <c r="K12" s="97"/>
      <c r="L12" s="97"/>
      <c r="M12" s="97"/>
      <c r="O12" s="29"/>
      <c r="P12" s="29"/>
    </row>
    <row r="13" spans="1:16" x14ac:dyDescent="0.3">
      <c r="A13" s="17" t="s">
        <v>40</v>
      </c>
      <c r="D13" s="103"/>
      <c r="E13" s="103"/>
      <c r="F13" s="103"/>
      <c r="G13" s="103"/>
      <c r="H13" s="103"/>
      <c r="K13" s="30"/>
      <c r="M13" s="31"/>
      <c r="O13" s="29"/>
      <c r="P13" s="29"/>
    </row>
    <row r="14" spans="1:16" x14ac:dyDescent="0.3">
      <c r="A14" s="19" t="s">
        <v>60</v>
      </c>
      <c r="B14" s="17" t="s">
        <v>36</v>
      </c>
      <c r="C14" s="17" t="s">
        <v>55</v>
      </c>
      <c r="D14" s="108">
        <f>'Input General'!D79+SUMPRODUCT('Input General'!D80:D83,'Input General'!D111:D114)*'Input Global'!D18</f>
        <v>0</v>
      </c>
      <c r="E14" s="108">
        <f>'Input General'!E79+SUMPRODUCT('Input General'!E80:E83,'Input General'!E111:E114)*'Input Global'!E18</f>
        <v>295.08339548072445</v>
      </c>
      <c r="F14" s="108">
        <f>'Input General'!F79+SUMPRODUCT('Input General'!F80:F83,'Input General'!F111:F114)*'Input Global'!F18</f>
        <v>299.07247235506139</v>
      </c>
      <c r="G14" s="108">
        <f>'Input General'!G79+SUMPRODUCT('Input General'!G80:G83,'Input General'!G111:G114)*'Input Global'!G18</f>
        <v>302.65024259572192</v>
      </c>
      <c r="H14" s="108">
        <f>'Input General'!H79+SUMPRODUCT('Input General'!H80:H83,'Input General'!H111:H114)*'Input Global'!H18</f>
        <v>307.22142213400855</v>
      </c>
      <c r="J14" s="97"/>
      <c r="K14" s="97"/>
      <c r="L14" s="97"/>
      <c r="M14" s="97"/>
      <c r="O14" s="29"/>
      <c r="P14" s="29"/>
    </row>
    <row r="15" spans="1:16" x14ac:dyDescent="0.3">
      <c r="A15" s="19" t="str">
        <f>'Input Frontier'!A41</f>
        <v>Carbon costs</v>
      </c>
      <c r="B15" s="17" t="s">
        <v>36</v>
      </c>
      <c r="C15" s="17" t="s">
        <v>55</v>
      </c>
      <c r="D15" s="108">
        <f ca="1">VLOOKUP($B$2,'Input General'!$A$256:$H$260, COLUMN('Input General'!D256),FALSE)*'Input Global'!D$18</f>
        <v>0</v>
      </c>
      <c r="E15" s="108">
        <f ca="1">VLOOKUP($B$2,'Input General'!$A$256:$H$260, COLUMN('Input General'!E256),FALSE)*'Input Global'!E$18</f>
        <v>0</v>
      </c>
      <c r="F15" s="108">
        <f ca="1">VLOOKUP($B$2,'Input General'!$A$256:$H$260, COLUMN('Input General'!F256),FALSE)*'Input Global'!F$18</f>
        <v>10244.597444220091</v>
      </c>
      <c r="G15" s="108">
        <f ca="1">VLOOKUP($B$2,'Input General'!$A$256:$H$260, COLUMN('Input General'!G256),FALSE)*'Input Global'!G$18</f>
        <v>11169.943065000532</v>
      </c>
      <c r="H15" s="108">
        <f ca="1">VLOOKUP($B$2,'Input General'!$A$256:$H$260, COLUMN('Input General'!H256),FALSE)*'Input Global'!H$18</f>
        <v>10706.826509642957</v>
      </c>
      <c r="I15" s="32"/>
      <c r="J15" s="97"/>
      <c r="K15" s="97"/>
      <c r="L15" s="97"/>
      <c r="M15" s="97"/>
    </row>
    <row r="16" spans="1:16" x14ac:dyDescent="0.3">
      <c r="A16" s="19" t="s">
        <v>88</v>
      </c>
      <c r="B16" s="17" t="s">
        <v>36</v>
      </c>
      <c r="C16" s="17" t="s">
        <v>55</v>
      </c>
      <c r="D16" s="108">
        <f ca="1">VLOOKUP($B$2,'Input General'!$A319:$H324,COLUMN(D16),FALSE)*'Input Global'!D18</f>
        <v>1207.2319490745772</v>
      </c>
      <c r="E16" s="108">
        <f ca="1">VLOOKUP($B$2,'Input General'!$A319:$H324,COLUMN(E16),FALSE)*'Input Global'!E18</f>
        <v>2070.6471001134769</v>
      </c>
      <c r="F16" s="108">
        <f ca="1">VLOOKUP($B$2,'Input General'!$A319:$H324,COLUMN(F16),FALSE)*'Input Global'!F18</f>
        <v>3031.3917806135009</v>
      </c>
      <c r="G16" s="108">
        <f ca="1">VLOOKUP($B$2,'Input General'!$A319:$H324,COLUMN(G16),FALSE)*'Input Global'!G18</f>
        <v>3165.2888405838162</v>
      </c>
      <c r="H16" s="108">
        <f ca="1">VLOOKUP($B$2,'Input General'!$A319:$H324,COLUMN(H16),FALSE)*'Input Global'!H18</f>
        <v>3286.0192301240681</v>
      </c>
      <c r="I16" s="32"/>
      <c r="J16" s="97"/>
      <c r="K16" s="97"/>
      <c r="L16" s="97"/>
      <c r="M16" s="97"/>
    </row>
    <row r="17" spans="1:13" x14ac:dyDescent="0.3">
      <c r="A17" s="19" t="s">
        <v>89</v>
      </c>
      <c r="B17" s="17" t="s">
        <v>36</v>
      </c>
      <c r="C17" s="17" t="s">
        <v>55</v>
      </c>
      <c r="D17" s="108">
        <f ca="1">'Input General'!D139*'Input Global'!D18</f>
        <v>2085.1764769245315</v>
      </c>
      <c r="E17" s="108">
        <f ca="1">'Input General'!E139*'Input Global'!E18</f>
        <v>2474.3240707424361</v>
      </c>
      <c r="F17" s="108">
        <f ca="1">'Input General'!F139*'Input Global'!F18</f>
        <v>1317.9953755290896</v>
      </c>
      <c r="G17" s="108">
        <f ca="1">'Input General'!G139*'Input Global'!G18</f>
        <v>565.2577144681353</v>
      </c>
      <c r="H17" s="108">
        <f ca="1">'Input General'!H139*'Input Global'!H18</f>
        <v>481.5238788754375</v>
      </c>
      <c r="I17" s="32"/>
      <c r="J17" s="97"/>
      <c r="K17" s="97"/>
      <c r="L17" s="97"/>
      <c r="M17" s="97"/>
    </row>
    <row r="18" spans="1:13" x14ac:dyDescent="0.3">
      <c r="A18" s="19" t="str">
        <f>Scheme1</f>
        <v>Energy Saver Incentive</v>
      </c>
      <c r="B18" s="17" t="s">
        <v>36</v>
      </c>
      <c r="C18" s="17" t="s">
        <v>55</v>
      </c>
      <c r="D18" s="108">
        <f ca="1">VLOOKUP($B$2,'Input General'!$A$159:$H$163,COLUMN(D18),FALSE)*'Input Global'!D$18</f>
        <v>1848.2570603249551</v>
      </c>
      <c r="E18" s="108">
        <f ca="1">VLOOKUP($B$2,'Input General'!$A$159:$H$163,COLUMN(E18),FALSE)*'Input Global'!E$18</f>
        <v>1824.2590311018121</v>
      </c>
      <c r="F18" s="108">
        <f ca="1">VLOOKUP($B$2,'Input General'!$A$159:$H$163,COLUMN(F18),FALSE)*'Input Global'!F$18</f>
        <v>1737.9227807159082</v>
      </c>
      <c r="G18" s="108">
        <f ca="1">VLOOKUP($B$2,'Input General'!$A$159:$H$163,COLUMN(G18),FALSE)*'Input Global'!G$18</f>
        <v>1693.5057010159676</v>
      </c>
      <c r="H18" s="108">
        <f ca="1">VLOOKUP($B$2,'Input General'!$A$159:$H$163,COLUMN(H18),FALSE)*'Input Global'!H$18</f>
        <v>1660.2185831154577</v>
      </c>
      <c r="I18" s="32"/>
      <c r="J18" s="97"/>
      <c r="K18" s="97"/>
      <c r="L18" s="97"/>
      <c r="M18" s="97"/>
    </row>
    <row r="19" spans="1:13" x14ac:dyDescent="0.3">
      <c r="A19" s="19" t="str">
        <f>Scheme2</f>
        <v>blank</v>
      </c>
      <c r="B19" s="17" t="s">
        <v>36</v>
      </c>
      <c r="C19" s="17" t="s">
        <v>55</v>
      </c>
      <c r="D19" s="108">
        <f ca="1">VLOOKUP($B$2,'Input General'!$A$191:$H$195,COLUMN(D19),FALSE)*'Input Global'!D$18</f>
        <v>0</v>
      </c>
      <c r="E19" s="108">
        <f ca="1">VLOOKUP($B$2,'Input General'!$A$191:$H$195,COLUMN(E19),FALSE)*'Input Global'!E$18</f>
        <v>0</v>
      </c>
      <c r="F19" s="108">
        <f ca="1">VLOOKUP($B$2,'Input General'!$A$191:$H$195,COLUMN(F19),FALSE)*'Input Global'!F$18</f>
        <v>0</v>
      </c>
      <c r="G19" s="108">
        <f ca="1">VLOOKUP($B$2,'Input General'!$A$191:$H$195,COLUMN(G19),FALSE)*'Input Global'!G$18</f>
        <v>0</v>
      </c>
      <c r="H19" s="108">
        <f ca="1">VLOOKUP($B$2,'Input General'!$A$191:$H$195,COLUMN(H19),FALSE)*'Input Global'!H$18</f>
        <v>0</v>
      </c>
      <c r="I19" s="32"/>
    </row>
    <row r="20" spans="1:13" x14ac:dyDescent="0.3">
      <c r="A20" s="20" t="s">
        <v>53</v>
      </c>
      <c r="B20" s="20" t="s">
        <v>36</v>
      </c>
      <c r="C20" s="20" t="s">
        <v>55</v>
      </c>
      <c r="D20" s="108">
        <f ca="1">SUM(D8:D19)</f>
        <v>35337.876654734835</v>
      </c>
      <c r="E20" s="108">
        <f ca="1">SUM(E8:E19)</f>
        <v>128117.33967217362</v>
      </c>
      <c r="F20" s="108">
        <f ca="1">SUM(F8:F19)</f>
        <v>134002.99335520033</v>
      </c>
      <c r="G20" s="108">
        <f ca="1">SUM(G8:G19)</f>
        <v>134609.6018171355</v>
      </c>
      <c r="H20" s="108">
        <f ca="1">SUM(H8:H19)</f>
        <v>141590.45116491479</v>
      </c>
      <c r="J20" s="97"/>
      <c r="K20" s="97"/>
      <c r="L20" s="97"/>
      <c r="M20" s="97"/>
    </row>
    <row r="21" spans="1:13" x14ac:dyDescent="0.3">
      <c r="A21" s="135"/>
      <c r="B21" s="135"/>
      <c r="C21" s="135"/>
      <c r="D21" s="136"/>
      <c r="E21" s="136"/>
      <c r="F21" s="136"/>
      <c r="G21" s="136"/>
      <c r="H21" s="136"/>
    </row>
    <row r="22" spans="1:13" x14ac:dyDescent="0.3">
      <c r="A22" s="18" t="str">
        <f>Dist2</f>
        <v>Powercor</v>
      </c>
      <c r="E22" s="103"/>
      <c r="F22" s="103"/>
      <c r="G22" s="103"/>
      <c r="H22" s="103"/>
    </row>
    <row r="24" spans="1:13" x14ac:dyDescent="0.3">
      <c r="A24" s="17" t="str">
        <f>A9</f>
        <v>Transmission</v>
      </c>
      <c r="B24" s="17" t="s">
        <v>36</v>
      </c>
      <c r="C24" s="17" t="s">
        <v>55</v>
      </c>
      <c r="D24" s="108">
        <f>IF(LEFT($A$22,5)="blank",0,'Input General'!D14+(SUMPRODUCT('Input General'!D15:D18,'Input General'!D116:D119)*'Input Global'!D19))</f>
        <v>0</v>
      </c>
      <c r="E24" s="108">
        <f>IF(LEFT($A$22,5)="blank",0,'Input General'!E14+(SUMPRODUCT('Input General'!E15:E18,'Input General'!E116:E119)*'Input Global'!E19))</f>
        <v>6202.9723446853313</v>
      </c>
      <c r="F24" s="108">
        <f>IF(LEFT($A$22,5)="blank",0,'Input General'!F14+(SUMPRODUCT('Input General'!F15:F18,'Input General'!F116:F119)*'Input Global'!F19))</f>
        <v>6218.6626950420305</v>
      </c>
      <c r="G24" s="108">
        <f>IF(LEFT($A$22,5)="blank",0,'Input General'!G14+(SUMPRODUCT('Input General'!G15:G18,'Input General'!G116:G119)*'Input Global'!G19))</f>
        <v>6217.8565908331775</v>
      </c>
      <c r="H24" s="108">
        <f>IF(LEFT($A$22,5)="blank",0,'Input General'!H14+(SUMPRODUCT('Input General'!H15:H18,'Input General'!H116:H119)*'Input Global'!H19))</f>
        <v>6247.9696549581267</v>
      </c>
    </row>
    <row r="25" spans="1:13" x14ac:dyDescent="0.3">
      <c r="A25" s="17" t="str">
        <f>A10</f>
        <v>Distribution</v>
      </c>
      <c r="B25" s="17" t="s">
        <v>36</v>
      </c>
      <c r="C25" s="17" t="s">
        <v>55</v>
      </c>
      <c r="D25" s="108">
        <f>IF(LEFT($A$22,5)="blank",0,'Input General'!D46+SUMPRODUCT('Input General'!D47:D50,'Input General'!D116:D119)*'Input Global'!D19+'Input General'!D72)</f>
        <v>0</v>
      </c>
      <c r="E25" s="108">
        <f>IF(LEFT($A$22,5)="blank",0,'Input General'!E46+SUMPRODUCT('Input General'!E47:E50,'Input General'!E116:E119)*'Input Global'!E19+'Input General'!E72)</f>
        <v>40331.10512939922</v>
      </c>
      <c r="F25" s="108">
        <f>IF(LEFT($A$22,5)="blank",0,'Input General'!F46+SUMPRODUCT('Input General'!F47:F50,'Input General'!F116:F119)*'Input Global'!F19+'Input General'!F72)</f>
        <v>43627.331792973535</v>
      </c>
      <c r="G25" s="108">
        <f>IF(LEFT($A$22,5)="blank",0,'Input General'!G46+SUMPRODUCT('Input General'!G47:G50,'Input General'!G116:G119)*'Input Global'!G19+'Input General'!G72)</f>
        <v>47138.174574861368</v>
      </c>
      <c r="H25" s="108">
        <f>IF(LEFT($A$22,5)="blank",0,'Input General'!H46+SUMPRODUCT('Input General'!H47:H50,'Input General'!H116:H119)*'Input Global'!H19+'Input General'!H72)</f>
        <v>50952.858783241027</v>
      </c>
    </row>
    <row r="27" spans="1:13" x14ac:dyDescent="0.3">
      <c r="A27" s="17" t="str">
        <f t="shared" ref="A27:A34" si="0">A12</f>
        <v>Retail and Wholesale</v>
      </c>
      <c r="B27" s="17" t="s">
        <v>36</v>
      </c>
      <c r="C27" s="17" t="s">
        <v>55</v>
      </c>
      <c r="D27" s="108">
        <f ca="1">IF(LEFT($A$22,5)="blank",0,VLOOKUP($B$2,'Input General'!$A$229:$H$233,COLUMN(D12),FALSE)*'Input Global'!D$34)+IF(LEFT($A$22,5)="blank",0,VLOOKUP($B$2,dist2wholesale,COLUMN(D8),FALSE)*'Input Global'!D19)</f>
        <v>34944.928044604494</v>
      </c>
      <c r="E27" s="108">
        <f ca="1">IF(LEFT($A$22,5)="blank",0,VLOOKUP($B$2,'Input General'!$A$229:$H$233,COLUMN(E12),FALSE)*'Input Global'!E$34)+IF(LEFT($A$22,5)="blank",0,VLOOKUP($B$2,dist2wholesale,COLUMN(E8),FALSE)*'Input Global'!E19)</f>
        <v>86550.234381842907</v>
      </c>
      <c r="F27" s="108">
        <f ca="1">IF(LEFT($A$22,5)="blank",0,VLOOKUP($B$2,'Input General'!$A$229:$H$233,COLUMN(F12),FALSE)*'Input Global'!F$34)+IF(LEFT($A$22,5)="blank",0,VLOOKUP($B$2,dist2wholesale,COLUMN(F8),FALSE)*'Input Global'!F19)</f>
        <v>84841.196151127282</v>
      </c>
      <c r="G27" s="108">
        <f ca="1">IF(LEFT($A$22,5)="blank",0,VLOOKUP($B$2,'Input General'!$A$229:$H$233,COLUMN(G12),FALSE)*'Input Global'!G$34)+IF(LEFT($A$22,5)="blank",0,VLOOKUP($B$2,dist2wholesale,COLUMN(G8),FALSE)*'Input Global'!G19)</f>
        <v>81249.263556831997</v>
      </c>
      <c r="H27" s="108">
        <f ca="1">IF(LEFT($A$22,5)="blank",0,VLOOKUP($B$2,'Input General'!$A$229:$H$233,COLUMN(H12),FALSE)*'Input Global'!H$34)+IF(LEFT($A$22,5)="blank",0,VLOOKUP($B$2,dist2wholesale,COLUMN(H8),FALSE)*'Input Global'!H19)</f>
        <v>84538.49896052976</v>
      </c>
      <c r="I27" s="32"/>
    </row>
    <row r="28" spans="1:13" x14ac:dyDescent="0.3">
      <c r="A28" s="17" t="str">
        <f t="shared" si="0"/>
        <v>Green Schemes</v>
      </c>
      <c r="D28" s="103"/>
    </row>
    <row r="29" spans="1:13" x14ac:dyDescent="0.3">
      <c r="A29" s="19" t="str">
        <f t="shared" si="0"/>
        <v>Feed-in Tariffs</v>
      </c>
      <c r="B29" s="17" t="s">
        <v>36</v>
      </c>
      <c r="C29" s="17" t="s">
        <v>55</v>
      </c>
      <c r="D29" s="108">
        <f>IF(LEFT($A$22,5)="blank",0,'Input General'!D85+SUMPRODUCT('Input General'!D86:D89,'Input General'!D116:D119)*'Input Global'!D19)</f>
        <v>0</v>
      </c>
      <c r="E29" s="108">
        <f>IF(LEFT($A$22,5)="blank",0,'Input General'!E85+SUMPRODUCT('Input General'!E86:E89,'Input General'!E116:E119)*'Input Global'!E19)</f>
        <v>1488.553030334584</v>
      </c>
      <c r="F29" s="108">
        <f>IF(LEFT($A$22,5)="blank",0,'Input General'!F85+SUMPRODUCT('Input General'!F86:F89,'Input General'!F116:F119)*'Input Global'!F19)</f>
        <v>1498.2146145536015</v>
      </c>
      <c r="G29" s="108">
        <f>IF(LEFT($A$22,5)="blank",0,'Input General'!G85+SUMPRODUCT('Input General'!G86:G89,'Input General'!G116:G119)*'Input Global'!G19)</f>
        <v>1503.9618686445797</v>
      </c>
      <c r="H29" s="108">
        <f>IF(LEFT($A$22,5)="blank",0,'Input General'!H85+SUMPRODUCT('Input General'!H86:H89,'Input General'!H116:H119)*'Input Global'!H19)</f>
        <v>1517.2041040482595</v>
      </c>
    </row>
    <row r="30" spans="1:13" x14ac:dyDescent="0.3">
      <c r="A30" s="19" t="str">
        <f t="shared" si="0"/>
        <v>Carbon costs</v>
      </c>
      <c r="B30" s="17" t="s">
        <v>36</v>
      </c>
      <c r="C30" s="17" t="s">
        <v>55</v>
      </c>
      <c r="D30" s="108">
        <f ca="1">IF(LEFT($A$22,5)="blank",0,VLOOKUP($B$2,'Input General'!$A$262:$H$266,COLUMN('Input General'!D262),FALSE)*'Input Global'!D$19)</f>
        <v>0</v>
      </c>
      <c r="E30" s="108">
        <f ca="1">IF(LEFT($A$22,5)="blank",0,VLOOKUP($B$2,'Input General'!$A$262:$H$266,COLUMN('Input General'!E262),FALSE)*'Input Global'!E$19)</f>
        <v>0</v>
      </c>
      <c r="F30" s="108">
        <f ca="1">IF(LEFT($A$22,5)="blank",0,VLOOKUP($B$2,'Input General'!$A$262:$H$266,COLUMN('Input General'!F262),FALSE)*'Input Global'!F$19)</f>
        <v>10244.597444220091</v>
      </c>
      <c r="G30" s="108">
        <f ca="1">IF(LEFT($A$22,5)="blank",0,VLOOKUP($B$2,'Input General'!$A$262:$H$266,COLUMN('Input General'!G262),FALSE)*'Input Global'!G$19)</f>
        <v>11241.496010404206</v>
      </c>
      <c r="H30" s="108">
        <f ca="1">IF(LEFT($A$22,5)="blank",0,VLOOKUP($B$2,'Input General'!$A$262:$H$266,COLUMN('Input General'!H262),FALSE)*'Input Global'!H$19)</f>
        <v>10834.485089915102</v>
      </c>
      <c r="I30" s="32"/>
    </row>
    <row r="31" spans="1:13" x14ac:dyDescent="0.3">
      <c r="A31" s="19" t="str">
        <f t="shared" si="0"/>
        <v>Large Scale Renewable Energy Target</v>
      </c>
      <c r="B31" s="17" t="s">
        <v>36</v>
      </c>
      <c r="C31" s="17" t="s">
        <v>55</v>
      </c>
      <c r="D31" s="108">
        <f ca="1">IF(LEFT($A$22,5)="blank",0,VLOOKUP($B$2,'Input General'!$A325:$H330,COLUMN(D16),FALSE)*'Input Global'!D19)</f>
        <v>1207.2319490745772</v>
      </c>
      <c r="E31" s="108">
        <f ca="1">IF(LEFT($A$22,5)="blank",0,VLOOKUP($B$2,'Input General'!$A325:$H330,COLUMN(E16),FALSE)*'Input Global'!E19)</f>
        <v>2070.6471001134769</v>
      </c>
      <c r="F31" s="108">
        <f ca="1">IF(LEFT($A$22,5)="blank",0,VLOOKUP($B$2,'Input General'!$A325:$H330,COLUMN(F16),FALSE)*'Input Global'!F19)</f>
        <v>3031.3917806135009</v>
      </c>
      <c r="G31" s="108">
        <f ca="1">IF(LEFT($A$22,5)="blank",0,VLOOKUP($B$2,'Input General'!$A325:$H330,COLUMN(G16),FALSE)*'Input Global'!G19)</f>
        <v>3165.2888405838162</v>
      </c>
      <c r="H31" s="108">
        <f ca="1">IF(LEFT($A$22,5)="blank",0,VLOOKUP($B$2,'Input General'!$A325:$H330,COLUMN(H16),FALSE)*'Input Global'!H19)</f>
        <v>3286.0192301240681</v>
      </c>
      <c r="I31" s="32"/>
    </row>
    <row r="32" spans="1:13" x14ac:dyDescent="0.3">
      <c r="A32" s="19" t="str">
        <f t="shared" si="0"/>
        <v>Small Scale Renewable Energy Scheme</v>
      </c>
      <c r="B32" s="17" t="s">
        <v>36</v>
      </c>
      <c r="C32" s="17" t="s">
        <v>55</v>
      </c>
      <c r="D32" s="108">
        <f ca="1">IF(LEFT($A$22,5)="blank",0,'Input General'!D143*'Input Global'!D$19)</f>
        <v>2085.1764769245315</v>
      </c>
      <c r="E32" s="108">
        <f ca="1">IF(LEFT($A$22,5)="blank",0,'Input General'!E143*'Input Global'!E$19)</f>
        <v>2058.1022527255191</v>
      </c>
      <c r="F32" s="108">
        <f ca="1">IF(LEFT($A$22,5)="blank",0,'Input General'!F143*'Input Global'!F$19)</f>
        <v>2012.2963038669923</v>
      </c>
      <c r="G32" s="108">
        <f ca="1">IF(LEFT($A$22,5)="blank",0,'Input General'!G143*'Input Global'!G$19)</f>
        <v>863.02731456846857</v>
      </c>
      <c r="H32" s="108">
        <f ca="1">IF(LEFT($A$22,5)="blank",0,'Input General'!H143*'Input Global'!H$19)</f>
        <v>735.18370373322568</v>
      </c>
      <c r="I32" s="32"/>
    </row>
    <row r="33" spans="1:14" x14ac:dyDescent="0.3">
      <c r="A33" s="19" t="str">
        <f t="shared" si="0"/>
        <v>Energy Saver Incentive</v>
      </c>
      <c r="B33" s="17" t="s">
        <v>36</v>
      </c>
      <c r="C33" s="17" t="s">
        <v>55</v>
      </c>
      <c r="D33" s="108">
        <f ca="1">IF(LEFT($A$22,5)="blank",0,VLOOKUP($B$2,'Input General'!$A$165:$H$169,COLUMN(D33),FALSE)*'Input Global'!D$19)</f>
        <v>1848.2570603249551</v>
      </c>
      <c r="E33" s="108">
        <f ca="1">IF(LEFT($A$22,5)="blank",0,VLOOKUP($B$2,'Input General'!$A$165:$H$169,COLUMN(E33),FALSE)*'Input Global'!E$19)</f>
        <v>1824.2590311018121</v>
      </c>
      <c r="F33" s="108">
        <f ca="1">IF(LEFT($A$22,5)="blank",0,VLOOKUP($B$2,'Input General'!$A$165:$H$169,COLUMN(F33),FALSE)*'Input Global'!F$19)</f>
        <v>1737.9227807159082</v>
      </c>
      <c r="G33" s="108">
        <f ca="1">IF(LEFT($A$22,5)="blank",0,VLOOKUP($B$2,'Input General'!$A$165:$H$169,COLUMN(G33),FALSE)*'Input Global'!G$19)</f>
        <v>1693.5057010159676</v>
      </c>
      <c r="H33" s="108">
        <f ca="1">IF(LEFT($A$22,5)="blank",0,VLOOKUP($B$2,'Input General'!$A$165:$H$169,COLUMN(H33),FALSE)*'Input Global'!H$19)</f>
        <v>1660.2185831154577</v>
      </c>
      <c r="I33" s="32"/>
    </row>
    <row r="34" spans="1:14" x14ac:dyDescent="0.3">
      <c r="A34" s="19" t="str">
        <f t="shared" si="0"/>
        <v>blank</v>
      </c>
      <c r="B34" s="17" t="s">
        <v>36</v>
      </c>
      <c r="C34" s="17" t="s">
        <v>55</v>
      </c>
      <c r="D34" s="108">
        <f ca="1">IF(LEFT($A$22,5)="blank",0,VLOOKUP($B$2,'Input General'!$A$197:$H$201,COLUMN(D34),FALSE)*'Input Global'!D$19)</f>
        <v>0</v>
      </c>
      <c r="E34" s="108">
        <f ca="1">IF(LEFT($A$22,5)="blank",0,VLOOKUP($B$2,'Input General'!$A$197:$H$201,COLUMN(E34),FALSE)*'Input Global'!E$19)</f>
        <v>0</v>
      </c>
      <c r="F34" s="108">
        <f ca="1">IF(LEFT($A$22,5)="blank",0,VLOOKUP($B$2,'Input General'!$A$197:$H$201,COLUMN(F34),FALSE)*'Input Global'!F$19)</f>
        <v>0</v>
      </c>
      <c r="G34" s="108">
        <f ca="1">IF(LEFT($A$22,5)="blank",0,VLOOKUP($B$2,'Input General'!$A$197:$H$201,COLUMN(G34),FALSE)*'Input Global'!G$19)</f>
        <v>0</v>
      </c>
      <c r="H34" s="108">
        <f ca="1">IF(LEFT($A$22,5)="blank",0,VLOOKUP($B$2,'Input General'!$A$197:$H$201,COLUMN(H34),FALSE)*'Input Global'!H$19)</f>
        <v>0</v>
      </c>
      <c r="I34" s="32"/>
    </row>
    <row r="35" spans="1:14" x14ac:dyDescent="0.3">
      <c r="A35" s="20" t="s">
        <v>53</v>
      </c>
      <c r="B35" s="20" t="s">
        <v>36</v>
      </c>
      <c r="C35" s="20" t="s">
        <v>55</v>
      </c>
      <c r="D35" s="108">
        <f ca="1">SUM(D23:D34)</f>
        <v>40085.593530928563</v>
      </c>
      <c r="E35" s="108">
        <f t="shared" ref="E35:H35" ca="1" si="1">SUM(E23:E34)</f>
        <v>140525.87327020284</v>
      </c>
      <c r="F35" s="108">
        <f t="shared" ca="1" si="1"/>
        <v>153211.61356311297</v>
      </c>
      <c r="G35" s="108">
        <f t="shared" ca="1" si="1"/>
        <v>153072.57445774355</v>
      </c>
      <c r="H35" s="108">
        <f t="shared" ca="1" si="1"/>
        <v>159772.43810966506</v>
      </c>
    </row>
    <row r="36" spans="1:14" x14ac:dyDescent="0.3">
      <c r="A36" s="135"/>
      <c r="B36" s="135"/>
      <c r="C36" s="135"/>
      <c r="D36" s="136"/>
      <c r="E36" s="136"/>
      <c r="F36" s="136"/>
      <c r="G36" s="136"/>
      <c r="H36" s="136"/>
    </row>
    <row r="37" spans="1:14" x14ac:dyDescent="0.3">
      <c r="A37" s="18" t="str">
        <f>Dist3</f>
        <v>SP Ausnet</v>
      </c>
      <c r="J37" s="157"/>
      <c r="K37" s="157"/>
      <c r="L37" s="157"/>
      <c r="M37" s="157"/>
      <c r="N37" s="157"/>
    </row>
    <row r="39" spans="1:14" x14ac:dyDescent="0.3">
      <c r="A39" s="17" t="str">
        <f t="shared" ref="A39:A49" si="2">A24</f>
        <v>Transmission</v>
      </c>
      <c r="B39" s="17" t="s">
        <v>36</v>
      </c>
      <c r="C39" s="17" t="s">
        <v>55</v>
      </c>
      <c r="D39" s="108">
        <f>IF(LEFT($A$37,5)="blank",0,'Input General'!D20+(SUMPRODUCT('Input General'!D21:D24,'Input General'!D121:D124)*'Input Global'!D$20))</f>
        <v>0</v>
      </c>
      <c r="E39" s="108">
        <f>IF(LEFT($A$37,5)="blank",0,'Input General'!E20+(SUMPRODUCT('Input General'!E21:E24,'Input General'!E121:E124)*'Input Global'!E$20))</f>
        <v>5046.1048716151918</v>
      </c>
      <c r="F39" s="108">
        <f>IF(LEFT($A$37,5)="blank",0,'Input General'!F20+(SUMPRODUCT('Input General'!F21:F24,'Input General'!F121:F124)*'Input Global'!F$20))</f>
        <v>5037.6911121676212</v>
      </c>
      <c r="G39" s="108">
        <f>IF(LEFT($A$37,5)="blank",0,'Input General'!G20+(SUMPRODUCT('Input General'!G21:G24,'Input General'!G121:G124)*'Input Global'!G$20))</f>
        <v>5012.3109264832283</v>
      </c>
      <c r="H39" s="108">
        <f>IF(LEFT($A$37,5)="blank",0,'Input General'!H20+(SUMPRODUCT('Input General'!H21:H24,'Input General'!H121:H124)*'Input Global'!H$20))</f>
        <v>5017.2632984979691</v>
      </c>
    </row>
    <row r="40" spans="1:14" x14ac:dyDescent="0.3">
      <c r="A40" s="17" t="str">
        <f t="shared" si="2"/>
        <v>Distribution</v>
      </c>
      <c r="B40" s="17" t="s">
        <v>36</v>
      </c>
      <c r="C40" s="17" t="s">
        <v>55</v>
      </c>
      <c r="D40" s="108">
        <f>IF(LEFT($A$37,5)="blank",0,'Input General'!D52+SUMPRODUCT('Input General'!D53:D56,'Input General'!D121:D124)*'Input Global'!D$20+'Input General'!D73)</f>
        <v>0</v>
      </c>
      <c r="E40" s="108">
        <f>IF(LEFT($A$37,5)="blank",0,'Input General'!E52+SUMPRODUCT('Input General'!E53:E56,'Input General'!E121:E124)*'Input Global'!E$20+'Input General'!E73)</f>
        <v>43163.908470428025</v>
      </c>
      <c r="F40" s="108">
        <f>IF(LEFT($A$37,5)="blank",0,'Input General'!F52+SUMPRODUCT('Input General'!F53:F56,'Input General'!F121:F124)*'Input Global'!F$20+'Input General'!F73)</f>
        <v>46847.272676484659</v>
      </c>
      <c r="G40" s="108">
        <f>IF(LEFT($A$37,5)="blank",0,'Input General'!G52+SUMPRODUCT('Input General'!G53:G56,'Input General'!G121:G124)*'Input Global'!G$20+'Input General'!G73)</f>
        <v>51313.444171889321</v>
      </c>
      <c r="H40" s="108">
        <f>IF(LEFT($A$37,5)="blank",0,'Input General'!H52+SUMPRODUCT('Input General'!H53:H56,'Input General'!H121:H124)*'Input Global'!H$20+'Input General'!H73)</f>
        <v>56363.478774462943</v>
      </c>
    </row>
    <row r="41" spans="1:14" x14ac:dyDescent="0.3">
      <c r="B41" s="17" t="s">
        <v>36</v>
      </c>
      <c r="C41" s="17" t="s">
        <v>55</v>
      </c>
    </row>
    <row r="42" spans="1:14" x14ac:dyDescent="0.3">
      <c r="A42" s="17" t="str">
        <f t="shared" si="2"/>
        <v>Retail and Wholesale</v>
      </c>
      <c r="B42" s="17" t="s">
        <v>36</v>
      </c>
      <c r="C42" s="17" t="s">
        <v>55</v>
      </c>
      <c r="D42" s="108">
        <f ca="1">IF(LEFT($A$37,5)="blank",0,VLOOKUP($B$2,'Input General'!$A$235:$H$239,COLUMN(D27),FALSE)*'Input Global'!D$35)+IF(LEFT($A$37,5)="blank",0,VLOOKUP($B$2,dist3wholesale,COLUMN(D38),FALSE)*'Input Global'!D20)</f>
        <v>37302.770754850208</v>
      </c>
      <c r="E42" s="108">
        <f ca="1">IF(LEFT($A$37,5)="blank",0,VLOOKUP($B$2,'Input General'!$A$235:$H$239,COLUMN(E27),FALSE)*'Input Global'!E$35)+IF(LEFT($A$37,5)="blank",0,VLOOKUP($B$2,dist3wholesale,COLUMN(E38),FALSE)*'Input Global'!E20)</f>
        <v>80557.419685131259</v>
      </c>
      <c r="F42" s="108">
        <f ca="1">IF(LEFT($A$37,5)="blank",0,VLOOKUP($B$2,'Input General'!$A$235:$H$239,COLUMN(F27),FALSE)*'Input Global'!F$35)+IF(LEFT($A$37,5)="blank",0,VLOOKUP($B$2,dist3wholesale,COLUMN(F38),FALSE)*'Input Global'!F20)</f>
        <v>76208.835987843413</v>
      </c>
      <c r="G42" s="108">
        <f ca="1">IF(LEFT($A$37,5)="blank",0,VLOOKUP($B$2,'Input General'!$A$235:$H$239,COLUMN(G27),FALSE)*'Input Global'!G$35)+IF(LEFT($A$37,5)="blank",0,VLOOKUP($B$2,dist3wholesale,COLUMN(G38),FALSE)*'Input Global'!G20)</f>
        <v>74418.174514292172</v>
      </c>
      <c r="H42" s="108">
        <f ca="1">IF(LEFT($A$37,5)="blank",0,VLOOKUP($B$2,'Input General'!$A$235:$H$239,COLUMN(H27),FALSE)*'Input Global'!H$35)+IF(LEFT($A$37,5)="blank",0,VLOOKUP($B$2,dist3wholesale,COLUMN(H38),FALSE)*'Input Global'!H20)</f>
        <v>77566.29230861344</v>
      </c>
    </row>
    <row r="43" spans="1:14" x14ac:dyDescent="0.3">
      <c r="A43" s="17" t="str">
        <f t="shared" si="2"/>
        <v>Green Schemes</v>
      </c>
      <c r="D43" s="103"/>
      <c r="E43" s="103"/>
      <c r="F43" s="103"/>
      <c r="G43" s="103"/>
      <c r="H43" s="103"/>
    </row>
    <row r="44" spans="1:14" x14ac:dyDescent="0.3">
      <c r="A44" s="19" t="str">
        <f t="shared" si="2"/>
        <v>Feed-in Tariffs</v>
      </c>
      <c r="B44" s="17" t="s">
        <v>36</v>
      </c>
      <c r="C44" s="17" t="s">
        <v>55</v>
      </c>
      <c r="D44" s="108">
        <f>IF(LEFT($A$37,5)="blank",0,'Input General'!D91+SUMPRODUCT('Input General'!D92:D95,'Input General'!D121:D124)*'Input Global'!D$20)</f>
        <v>0</v>
      </c>
      <c r="E44" s="108">
        <f>IF(LEFT($A$37,5)="blank",0,'Input General'!E91+SUMPRODUCT('Input General'!E92:E95,'Input General'!E121:E124)*'Input Global'!E$20)</f>
        <v>1003.0915487369019</v>
      </c>
      <c r="F44" s="108">
        <f>IF(LEFT($A$37,5)="blank",0,'Input General'!F91+SUMPRODUCT('Input General'!F92:F95,'Input General'!F121:F124)*'Input Global'!F$20)</f>
        <v>1010.9887023359018</v>
      </c>
      <c r="G44" s="108">
        <f>IF(LEFT($A$37,5)="blank",0,'Input General'!G91+SUMPRODUCT('Input General'!G92:G95,'Input General'!G121:G124)*'Input Global'!G$20)</f>
        <v>1016.4919020208263</v>
      </c>
      <c r="H44" s="108">
        <f>IF(LEFT($A$37,5)="blank",0,'Input General'!H91+SUMPRODUCT('Input General'!H92:H95,'Input General'!H121:H124)*'Input Global'!H$20)</f>
        <v>1026.7165674206813</v>
      </c>
    </row>
    <row r="45" spans="1:14" x14ac:dyDescent="0.3">
      <c r="A45" s="19" t="str">
        <f t="shared" si="2"/>
        <v>Carbon costs</v>
      </c>
      <c r="B45" s="17" t="s">
        <v>36</v>
      </c>
      <c r="C45" s="17" t="s">
        <v>55</v>
      </c>
      <c r="D45" s="108">
        <f ca="1">IF(LEFT($A$37,5)="blank",0,VLOOKUP($B$2,'Input General'!$A$268:$H$272,COLUMN('Input General'!D268),FALSE)*'Input Global'!D$20)</f>
        <v>0</v>
      </c>
      <c r="E45" s="108">
        <f ca="1">IF(LEFT($A$37,5)="blank",0,VLOOKUP($B$2,'Input General'!$A$268:$H$272,COLUMN('Input General'!E268),FALSE)*'Input Global'!E$20)</f>
        <v>0</v>
      </c>
      <c r="F45" s="108">
        <f ca="1">IF(LEFT($A$37,5)="blank",0,VLOOKUP($B$2,'Input General'!$A$268:$H$272,COLUMN('Input General'!F268),FALSE)*'Input Global'!F$20)</f>
        <v>10244.597444220091</v>
      </c>
      <c r="G45" s="108">
        <f ca="1">IF(LEFT($A$37,5)="blank",0,VLOOKUP($B$2,'Input General'!$A$268:$H$272,COLUMN('Input General'!G268),FALSE)*'Input Global'!G$20)</f>
        <v>11096.722058165135</v>
      </c>
      <c r="H45" s="108">
        <f ca="1">IF(LEFT($A$37,5)="blank",0,VLOOKUP($B$2,'Input General'!$A$268:$H$272,COLUMN('Input General'!H268),FALSE)*'Input Global'!H$20)</f>
        <v>10726.922583997213</v>
      </c>
    </row>
    <row r="46" spans="1:14" x14ac:dyDescent="0.3">
      <c r="A46" s="19" t="str">
        <f t="shared" si="2"/>
        <v>Large Scale Renewable Energy Target</v>
      </c>
      <c r="B46" s="17" t="s">
        <v>36</v>
      </c>
      <c r="C46" s="17" t="s">
        <v>55</v>
      </c>
      <c r="D46" s="108">
        <f ca="1">IF(LEFT($A$37,5)="blank",0,VLOOKUP($B$2,'Input General'!$A331:$H336,COLUMN(D16),FALSE)*'Input Global'!D20)</f>
        <v>1207.2319490745772</v>
      </c>
      <c r="E46" s="108">
        <f ca="1">IF(LEFT($A$37,5)="blank",0,VLOOKUP($B$2,'Input General'!$A331:$H336,COLUMN(E16),FALSE)*'Input Global'!E20)</f>
        <v>2070.6471001134769</v>
      </c>
      <c r="F46" s="108">
        <f ca="1">IF(LEFT($A$37,5)="blank",0,VLOOKUP($B$2,'Input General'!$A331:$H336,COLUMN(F16),FALSE)*'Input Global'!F20)</f>
        <v>3031.3917806135009</v>
      </c>
      <c r="G46" s="108">
        <f ca="1">IF(LEFT($A$37,5)="blank",0,VLOOKUP($B$2,'Input General'!$A331:$H336,COLUMN(G16),FALSE)*'Input Global'!G20)</f>
        <v>3165.2888405838162</v>
      </c>
      <c r="H46" s="108">
        <f ca="1">IF(LEFT($A$37,5)="blank",0,VLOOKUP($B$2,'Input General'!$A331:$H336,COLUMN(H16),FALSE)*'Input Global'!H20)</f>
        <v>3286.0192301240681</v>
      </c>
    </row>
    <row r="47" spans="1:14" x14ac:dyDescent="0.3">
      <c r="A47" s="19" t="str">
        <f t="shared" si="2"/>
        <v>Small Scale Renewable Energy Scheme</v>
      </c>
      <c r="B47" s="17" t="s">
        <v>36</v>
      </c>
      <c r="C47" s="17" t="s">
        <v>55</v>
      </c>
      <c r="D47" s="108">
        <f ca="1">IF(LEFT($A$37,5)="blank",0,'Input General'!D147*'Input Global'!D$20)</f>
        <v>2085.1764769245315</v>
      </c>
      <c r="E47" s="108">
        <f ca="1">IF(LEFT($A$37,5)="blank",0,'Input General'!E147*'Input Global'!E$20)</f>
        <v>2474.3240707424361</v>
      </c>
      <c r="F47" s="108">
        <f ca="1">IF(LEFT($A$37,5)="blank",0,'Input General'!F147*'Input Global'!F$20)</f>
        <v>1317.9953755290896</v>
      </c>
      <c r="G47" s="108">
        <f ca="1">IF(LEFT($A$37,5)="blank",0,'Input General'!G147*'Input Global'!G$20)</f>
        <v>565.25771446813451</v>
      </c>
      <c r="H47" s="108">
        <f ca="1">IF(LEFT($A$37,5)="blank",0,'Input General'!H147*'Input Global'!H$20)</f>
        <v>481.52387887543739</v>
      </c>
    </row>
    <row r="48" spans="1:14" x14ac:dyDescent="0.3">
      <c r="A48" s="19" t="str">
        <f t="shared" si="2"/>
        <v>Energy Saver Incentive</v>
      </c>
      <c r="B48" s="17" t="s">
        <v>36</v>
      </c>
      <c r="C48" s="17" t="s">
        <v>55</v>
      </c>
      <c r="D48" s="108">
        <f ca="1">IF(LEFT($A$37,5)="blank",0,VLOOKUP($B$2,'Input General'!$A$171:$H$175,COLUMN(D33),FALSE)*'Input Global'!D$20)</f>
        <v>1848.2570603249551</v>
      </c>
      <c r="E48" s="108">
        <f ca="1">IF(LEFT($A$37,5)="blank",0,VLOOKUP($B$2,'Input General'!$A$171:$H$175,COLUMN(E33),FALSE)*'Input Global'!E$20)</f>
        <v>1824.2590311018121</v>
      </c>
      <c r="F48" s="108">
        <f ca="1">IF(LEFT($A$37,5)="blank",0,VLOOKUP($B$2,'Input General'!$A$171:$H$175,COLUMN(F33),FALSE)*'Input Global'!F$20)</f>
        <v>1737.9227807159082</v>
      </c>
      <c r="G48" s="108">
        <f ca="1">IF(LEFT($A$37,5)="blank",0,VLOOKUP($B$2,'Input General'!$A$171:$H$175,COLUMN(G33),FALSE)*'Input Global'!G$20)</f>
        <v>1693.5057010159676</v>
      </c>
      <c r="H48" s="108">
        <f ca="1">IF(LEFT($A$37,5)="blank",0,VLOOKUP($B$2,'Input General'!$A$171:$H$175,COLUMN(H33),FALSE)*'Input Global'!H$20)</f>
        <v>1660.2185831154577</v>
      </c>
    </row>
    <row r="49" spans="1:15" x14ac:dyDescent="0.3">
      <c r="A49" s="19" t="str">
        <f t="shared" si="2"/>
        <v>blank</v>
      </c>
      <c r="B49" s="17" t="s">
        <v>36</v>
      </c>
      <c r="C49" s="17" t="s">
        <v>55</v>
      </c>
      <c r="D49" s="108">
        <f ca="1">IF(LEFT($A$37,5)="blank",0,VLOOKUP($B$2,'Input General'!$A$203:$H$207,COLUMN(D49),FALSE)*'Input Global'!D$20)</f>
        <v>0</v>
      </c>
      <c r="E49" s="108">
        <f ca="1">IF(LEFT($A$37,5)="blank",0,VLOOKUP($B$2,'Input General'!$A$203:$H$207,COLUMN(E49),FALSE)*'Input Global'!E$20)</f>
        <v>0</v>
      </c>
      <c r="F49" s="108">
        <f ca="1">IF(LEFT($A$37,5)="blank",0,VLOOKUP($B$2,'Input General'!$A$203:$H$207,COLUMN(F49),FALSE)*'Input Global'!F$20)</f>
        <v>0</v>
      </c>
      <c r="G49" s="108">
        <f ca="1">IF(LEFT($A$37,5)="blank",0,VLOOKUP($B$2,'Input General'!$A$203:$H$207,COLUMN(G49),FALSE)*'Input Global'!G$20)</f>
        <v>0</v>
      </c>
      <c r="H49" s="108">
        <f ca="1">IF(LEFT($A$37,5)="blank",0,VLOOKUP($B$2,'Input General'!$A$203:$H$207,COLUMN(H49),FALSE)*'Input Global'!H$20)</f>
        <v>0</v>
      </c>
    </row>
    <row r="50" spans="1:15" x14ac:dyDescent="0.3">
      <c r="A50" s="20" t="s">
        <v>53</v>
      </c>
      <c r="B50" s="20" t="s">
        <v>36</v>
      </c>
      <c r="C50" s="20" t="s">
        <v>55</v>
      </c>
      <c r="D50" s="108">
        <f ca="1">SUM(D38:D49)</f>
        <v>42443.436241174277</v>
      </c>
      <c r="E50" s="108">
        <f t="shared" ref="E50:H50" ca="1" si="3">SUM(E38:E49)</f>
        <v>136139.75477786909</v>
      </c>
      <c r="F50" s="108">
        <f t="shared" ca="1" si="3"/>
        <v>145436.69585991019</v>
      </c>
      <c r="G50" s="108">
        <f t="shared" ca="1" si="3"/>
        <v>148281.1958289186</v>
      </c>
      <c r="H50" s="108">
        <f t="shared" ca="1" si="3"/>
        <v>156128.43522510727</v>
      </c>
    </row>
    <row r="51" spans="1:15" x14ac:dyDescent="0.3">
      <c r="A51" s="135"/>
      <c r="B51" s="135"/>
      <c r="C51" s="135"/>
      <c r="D51" s="136"/>
      <c r="E51" s="136"/>
      <c r="F51" s="136"/>
      <c r="G51" s="136"/>
      <c r="H51" s="136"/>
    </row>
    <row r="52" spans="1:15" x14ac:dyDescent="0.3">
      <c r="A52" s="18" t="str">
        <f>Dist4</f>
        <v>United</v>
      </c>
      <c r="K52" s="157"/>
      <c r="L52" s="157"/>
      <c r="M52" s="157"/>
      <c r="N52" s="157"/>
      <c r="O52" s="157"/>
    </row>
    <row r="54" spans="1:15" x14ac:dyDescent="0.3">
      <c r="A54" s="17" t="str">
        <f t="shared" ref="A54:A64" si="4">A39</f>
        <v>Transmission</v>
      </c>
      <c r="B54" s="17" t="s">
        <v>36</v>
      </c>
      <c r="C54" s="17" t="s">
        <v>55</v>
      </c>
      <c r="D54" s="108">
        <f>IF(LEFT($A$52,5)="blank",0,'Input General'!D26+(SUMPRODUCT('Input General'!D27:D30,'Input General'!D126:D129)*'Input Global'!D$21))</f>
        <v>0</v>
      </c>
      <c r="E54" s="108">
        <f>IF(LEFT($A$52,5)="blank",0,'Input General'!E26+(SUMPRODUCT('Input General'!E27:E30,'Input General'!E126:E129)*'Input Global'!E$21))</f>
        <v>7746.8799701304106</v>
      </c>
      <c r="F54" s="108">
        <f>IF(LEFT($A$52,5)="blank",0,'Input General'!F26+(SUMPRODUCT('Input General'!F27:F30,'Input General'!F126:F129)*'Input Global'!F$21))</f>
        <v>7733.9630002702461</v>
      </c>
      <c r="G54" s="108">
        <f>IF(LEFT($A$52,5)="blank",0,'Input General'!G26+(SUMPRODUCT('Input General'!G27:G30,'Input General'!G126:G129)*'Input Global'!G$21))</f>
        <v>7694.9988373923388</v>
      </c>
      <c r="H54" s="108">
        <f>IF(LEFT($A$52,5)="blank",0,'Input General'!H26+(SUMPRODUCT('Input General'!H27:H30,'Input General'!H126:H129)*'Input Global'!H$21))</f>
        <v>7702.6018168273158</v>
      </c>
    </row>
    <row r="55" spans="1:15" x14ac:dyDescent="0.3">
      <c r="A55" s="17" t="str">
        <f t="shared" si="4"/>
        <v>Distribution</v>
      </c>
      <c r="B55" s="17" t="s">
        <v>36</v>
      </c>
      <c r="C55" s="17" t="s">
        <v>55</v>
      </c>
      <c r="D55" s="108">
        <f>IF(LEFT($A$52,5)="blank",0,'Input General'!D58+SUMPRODUCT('Input General'!D59:D62,'Input General'!D126:D129)*'Input Global'!D$21+'Input General'!D74)</f>
        <v>0</v>
      </c>
      <c r="E55" s="108">
        <f>IF(LEFT($A$52,5)="blank",0,'Input General'!E58+SUMPRODUCT('Input General'!E59:E62,'Input General'!E126:E129)*'Input Global'!E$21+'Input General'!E74)</f>
        <v>36568.778951105123</v>
      </c>
      <c r="F55" s="108">
        <f>IF(LEFT($A$52,5)="blank",0,'Input General'!F58+SUMPRODUCT('Input General'!F59:F62,'Input General'!F126:F129)*'Input Global'!F$21+'Input General'!F74)</f>
        <v>40023.874109077631</v>
      </c>
      <c r="G55" s="108">
        <f>IF(LEFT($A$52,5)="blank",0,'Input General'!G58+SUMPRODUCT('Input General'!G59:G62,'Input General'!G126:G129)*'Input Global'!G$21+'Input General'!G74)</f>
        <v>45032.909324059874</v>
      </c>
      <c r="H55" s="108">
        <f>IF(LEFT($A$52,5)="blank",0,'Input General'!H58+SUMPRODUCT('Input General'!H59:H62,'Input General'!H126:H129)*'Input Global'!H$21+'Input General'!H74)</f>
        <v>50812.851016141794</v>
      </c>
    </row>
    <row r="57" spans="1:15" x14ac:dyDescent="0.3">
      <c r="A57" s="17" t="str">
        <f t="shared" si="4"/>
        <v>Retail and Wholesale</v>
      </c>
      <c r="B57" s="17" t="s">
        <v>36</v>
      </c>
      <c r="C57" s="17" t="s">
        <v>55</v>
      </c>
      <c r="D57" s="108">
        <f ca="1">IF(LEFT($A$52,5)="blank",0,VLOOKUP($B$2,'Input General'!$A$241:$H$245,COLUMN(D57),FALSE)*'Input Global'!D$36)+IF(LEFT($A$52,5)="blank",0,VLOOKUP($B$2,dist4wholesale,COLUMN(D53),FALSE)*'Input Global'!D21)</f>
        <v>37554.806443901856</v>
      </c>
      <c r="E57" s="108">
        <f ca="1">IF(LEFT($A$52,5)="blank",0,VLOOKUP($B$2,'Input General'!$A$241:$H$245,COLUMN(E57),FALSE)*'Input Global'!E$36)+IF(LEFT($A$52,5)="blank",0,VLOOKUP($B$2,dist4wholesale,COLUMN(E53),FALSE)*'Input Global'!E21)</f>
        <v>77956.382499819636</v>
      </c>
      <c r="F57" s="108">
        <f ca="1">IF(LEFT($A$52,5)="blank",0,VLOOKUP($B$2,'Input General'!$A$241:$H$245,COLUMN(F57),FALSE)*'Input Global'!F$36)+IF(LEFT($A$52,5)="blank",0,VLOOKUP($B$2,dist4wholesale,COLUMN(F53),FALSE)*'Input Global'!F21)</f>
        <v>75576.2900799114</v>
      </c>
      <c r="G57" s="108">
        <f ca="1">IF(LEFT($A$52,5)="blank",0,VLOOKUP($B$2,'Input General'!$A$241:$H$245,COLUMN(G57),FALSE)*'Input Global'!G$36)+IF(LEFT($A$52,5)="blank",0,VLOOKUP($B$2,dist4wholesale,COLUMN(G53),FALSE)*'Input Global'!G21)</f>
        <v>72298.327864466206</v>
      </c>
      <c r="H57" s="108">
        <f ca="1">IF(LEFT($A$52,5)="blank",0,VLOOKUP($B$2,'Input General'!$A$241:$H$245,COLUMN(H57),FALSE)*'Input Global'!H$36)+IF(LEFT($A$52,5)="blank",0,VLOOKUP($B$2,dist4wholesale,COLUMN(H53),FALSE)*'Input Global'!H21)</f>
        <v>75539.01647874566</v>
      </c>
    </row>
    <row r="58" spans="1:15" x14ac:dyDescent="0.3">
      <c r="A58" s="17" t="str">
        <f t="shared" si="4"/>
        <v>Green Schemes</v>
      </c>
      <c r="D58" s="103"/>
      <c r="E58" s="103"/>
      <c r="F58" s="103"/>
      <c r="G58" s="103"/>
      <c r="H58" s="103"/>
    </row>
    <row r="59" spans="1:15" x14ac:dyDescent="0.3">
      <c r="A59" s="19" t="str">
        <f t="shared" si="4"/>
        <v>Feed-in Tariffs</v>
      </c>
      <c r="B59" s="17" t="s">
        <v>36</v>
      </c>
      <c r="C59" s="17" t="s">
        <v>55</v>
      </c>
      <c r="D59" s="108">
        <f>IF(LEFT($A$52,5)="blank",0,'Input General'!D97+SUMPRODUCT('Input General'!D98:D101,'Input General'!D126:D129)*'Input Global'!D$21)</f>
        <v>0</v>
      </c>
      <c r="E59" s="108">
        <f>IF(LEFT($A$52,5)="blank",0,'Input General'!E97+SUMPRODUCT('Input General'!E98:E101,'Input General'!E126:E129)*'Input Global'!E$21)</f>
        <v>721.78750000000002</v>
      </c>
      <c r="F59" s="108">
        <f>IF(LEFT($A$52,5)="blank",0,'Input General'!F97+SUMPRODUCT('Input General'!F98:F101,'Input General'!F126:F129)*'Input Global'!F$21)</f>
        <v>739.83218749999992</v>
      </c>
      <c r="G59" s="108">
        <f>IF(LEFT($A$52,5)="blank",0,'Input General'!G97+SUMPRODUCT('Input General'!G98:G101,'Input General'!G126:G129)*'Input Global'!G$21)</f>
        <v>758.32799218749983</v>
      </c>
      <c r="H59" s="108">
        <f>IF(LEFT($A$52,5)="blank",0,'Input General'!H97+SUMPRODUCT('Input General'!H98:H101,'Input General'!H126:H129)*'Input Global'!H$21)</f>
        <v>777.28619199218724</v>
      </c>
    </row>
    <row r="60" spans="1:15" x14ac:dyDescent="0.3">
      <c r="A60" s="19" t="str">
        <f t="shared" si="4"/>
        <v>Carbon costs</v>
      </c>
      <c r="B60" s="17" t="s">
        <v>36</v>
      </c>
      <c r="C60" s="17" t="s">
        <v>55</v>
      </c>
      <c r="D60" s="108">
        <f ca="1">IF(LEFT($A$52,5)="blank",0,VLOOKUP($B$2,'Input General'!$A$274:$H$278,COLUMN(D60),FALSE)*'Input Global'!D$21)</f>
        <v>0</v>
      </c>
      <c r="E60" s="108">
        <f ca="1">IF(LEFT($A$52,5)="blank",0,VLOOKUP($B$2,'Input General'!$A$274:$H$278,COLUMN(E60),FALSE)*'Input Global'!E$21)</f>
        <v>0</v>
      </c>
      <c r="F60" s="108">
        <f ca="1">IF(LEFT($A$52,5)="blank",0,VLOOKUP($B$2,'Input General'!$A$274:$H$278,COLUMN(F60),FALSE)*'Input Global'!F$21)</f>
        <v>10244.597444220091</v>
      </c>
      <c r="G60" s="108">
        <f ca="1">IF(LEFT($A$52,5)="blank",0,VLOOKUP($B$2,'Input General'!$A$274:$H$278,COLUMN(G60),FALSE)*'Input Global'!G$21)</f>
        <v>11185.121800548481</v>
      </c>
      <c r="H60" s="108">
        <f ca="1">IF(LEFT($A$52,5)="blank",0,VLOOKUP($B$2,'Input General'!$A$274:$H$278,COLUMN(H60),FALSE)*'Input Global'!H$21)</f>
        <v>10717.707360497274</v>
      </c>
    </row>
    <row r="61" spans="1:15" x14ac:dyDescent="0.3">
      <c r="A61" s="19" t="str">
        <f t="shared" si="4"/>
        <v>Large Scale Renewable Energy Target</v>
      </c>
      <c r="B61" s="17" t="s">
        <v>36</v>
      </c>
      <c r="C61" s="17" t="s">
        <v>55</v>
      </c>
      <c r="D61" s="108">
        <f ca="1">IF(LEFT($A$52,5)="blank",0,VLOOKUP($B$2,'Input General'!$A338:$H342,COLUMN(D61),FALSE)*'Input Global'!D21)</f>
        <v>1207.2319490745772</v>
      </c>
      <c r="E61" s="108">
        <f ca="1">IF(LEFT($A$52,5)="blank",0,VLOOKUP($B$2,'Input General'!$A338:$H342,COLUMN(E61),FALSE)*'Input Global'!E21)</f>
        <v>2070.6471001134769</v>
      </c>
      <c r="F61" s="108">
        <f ca="1">IF(LEFT($A$52,5)="blank",0,VLOOKUP($B$2,'Input General'!$A338:$H342,COLUMN(F61),FALSE)*'Input Global'!F21)</f>
        <v>3031.3917806135009</v>
      </c>
      <c r="G61" s="108">
        <f ca="1">IF(LEFT($A$52,5)="blank",0,VLOOKUP($B$2,'Input General'!$A338:$H342,COLUMN(G61),FALSE)*'Input Global'!G21)</f>
        <v>3165.2888405838162</v>
      </c>
      <c r="H61" s="108">
        <f ca="1">IF(LEFT($A$52,5)="blank",0,VLOOKUP($B$2,'Input General'!$A338:$H342,COLUMN(H61),FALSE)*'Input Global'!H21)</f>
        <v>3286.0192301240681</v>
      </c>
    </row>
    <row r="62" spans="1:15" x14ac:dyDescent="0.3">
      <c r="A62" s="19" t="str">
        <f t="shared" si="4"/>
        <v>Small Scale Renewable Energy Scheme</v>
      </c>
      <c r="B62" s="17" t="s">
        <v>36</v>
      </c>
      <c r="C62" s="17" t="s">
        <v>55</v>
      </c>
      <c r="D62" s="108">
        <f ca="1">IF(LEFT($A$52,5)="blank",0,'Input General'!D151*'Input Global'!D$21)</f>
        <v>2085.1764769245315</v>
      </c>
      <c r="E62" s="108">
        <f ca="1">IF(LEFT($A$52,5)="blank",0,'Input General'!E151*'Input Global'!E$21)</f>
        <v>2474.3240707424361</v>
      </c>
      <c r="F62" s="108">
        <f ca="1">IF(LEFT($A$52,5)="blank",0,'Input General'!F151*'Input Global'!F$21)</f>
        <v>1317.9953755290896</v>
      </c>
      <c r="G62" s="108">
        <f ca="1">IF(LEFT($A$52,5)="blank",0,'Input General'!G151*'Input Global'!G$21)</f>
        <v>565.25771446813451</v>
      </c>
      <c r="H62" s="108">
        <f ca="1">IF(LEFT($A$52,5)="blank",0,'Input General'!H151*'Input Global'!H$21)</f>
        <v>481.52387887543739</v>
      </c>
    </row>
    <row r="63" spans="1:15" x14ac:dyDescent="0.3">
      <c r="A63" s="19" t="str">
        <f t="shared" si="4"/>
        <v>Energy Saver Incentive</v>
      </c>
      <c r="B63" s="17" t="s">
        <v>36</v>
      </c>
      <c r="C63" s="17" t="s">
        <v>55</v>
      </c>
      <c r="D63" s="108">
        <f ca="1">IF(LEFT($A$52,5)="blank",0,VLOOKUP($B$2,'Input General'!$A$177:$H$181,COLUMN(D48),FALSE)*'Input Global'!D$21)</f>
        <v>1848.2570603249551</v>
      </c>
      <c r="E63" s="108">
        <f ca="1">IF(LEFT($A$52,5)="blank",0,VLOOKUP($B$2,'Input General'!$A$177:$H$181,COLUMN(E48),FALSE)*'Input Global'!E$21)</f>
        <v>1824.2590311018121</v>
      </c>
      <c r="F63" s="108">
        <f ca="1">IF(LEFT($A$52,5)="blank",0,VLOOKUP($B$2,'Input General'!$A$177:$H$181,COLUMN(F48),FALSE)*'Input Global'!F$21)</f>
        <v>1737.9227807159082</v>
      </c>
      <c r="G63" s="108">
        <f ca="1">IF(LEFT($A$52,5)="blank",0,VLOOKUP($B$2,'Input General'!$A$177:$H$181,COLUMN(G48),FALSE)*'Input Global'!G$21)</f>
        <v>1693.5057010159676</v>
      </c>
      <c r="H63" s="108">
        <f ca="1">IF(LEFT($A$52,5)="blank",0,VLOOKUP($B$2,'Input General'!$A$177:$H$181,COLUMN(H48),FALSE)*'Input Global'!H$21)</f>
        <v>1660.2185831154577</v>
      </c>
    </row>
    <row r="64" spans="1:15" x14ac:dyDescent="0.3">
      <c r="A64" s="19" t="str">
        <f t="shared" si="4"/>
        <v>blank</v>
      </c>
      <c r="B64" s="17" t="s">
        <v>36</v>
      </c>
      <c r="C64" s="17" t="s">
        <v>55</v>
      </c>
      <c r="D64" s="108">
        <f ca="1">IF(LEFT($A$52,5)="blank",0,VLOOKUP($B$2,'Input General'!$A$209:$H$213,COLUMN(D64),FALSE)*'Input Global'!D$21)</f>
        <v>0</v>
      </c>
      <c r="E64" s="108">
        <f ca="1">IF(LEFT($A$52,5)="blank",0,VLOOKUP($B$2,'Input General'!$A$209:$H$213,COLUMN(E64),FALSE)*'Input Global'!E$21)</f>
        <v>0</v>
      </c>
      <c r="F64" s="108">
        <f ca="1">IF(LEFT($A$52,5)="blank",0,VLOOKUP($B$2,'Input General'!$A$209:$H$213,COLUMN(F64),FALSE)*'Input Global'!F$21)</f>
        <v>0</v>
      </c>
      <c r="G64" s="108">
        <f ca="1">IF(LEFT($A$52,5)="blank",0,VLOOKUP($B$2,'Input General'!$A$209:$H$213,COLUMN(G64),FALSE)*'Input Global'!G$21)</f>
        <v>0</v>
      </c>
      <c r="H64" s="108">
        <f ca="1">IF(LEFT($A$52,5)="blank",0,VLOOKUP($B$2,'Input General'!$A$209:$H$213,COLUMN(H64),FALSE)*'Input Global'!H$21)</f>
        <v>0</v>
      </c>
    </row>
    <row r="65" spans="1:14" x14ac:dyDescent="0.3">
      <c r="A65" s="20" t="s">
        <v>53</v>
      </c>
      <c r="B65" s="20" t="s">
        <v>36</v>
      </c>
      <c r="C65" s="20" t="s">
        <v>55</v>
      </c>
      <c r="D65" s="108">
        <f ca="1">SUM(D53:D64)</f>
        <v>42695.471930225925</v>
      </c>
      <c r="E65" s="108">
        <f t="shared" ref="E65:H65" ca="1" si="5">SUM(E53:E64)</f>
        <v>129363.05912301291</v>
      </c>
      <c r="F65" s="108">
        <f t="shared" ca="1" si="5"/>
        <v>140405.86675783788</v>
      </c>
      <c r="G65" s="108">
        <f t="shared" ca="1" si="5"/>
        <v>142393.73807472232</v>
      </c>
      <c r="H65" s="108">
        <f t="shared" ca="1" si="5"/>
        <v>150977.22455631921</v>
      </c>
    </row>
    <row r="66" spans="1:14" x14ac:dyDescent="0.3">
      <c r="A66" s="135"/>
      <c r="B66" s="135"/>
      <c r="C66" s="135"/>
      <c r="D66" s="136"/>
      <c r="E66" s="136"/>
      <c r="F66" s="136"/>
      <c r="G66" s="136"/>
      <c r="H66" s="136"/>
    </row>
    <row r="67" spans="1:14" x14ac:dyDescent="0.3">
      <c r="A67" s="18" t="str">
        <f>Dist5</f>
        <v>Jemena</v>
      </c>
    </row>
    <row r="68" spans="1:14" x14ac:dyDescent="0.3">
      <c r="J68" s="157"/>
      <c r="K68" s="157"/>
      <c r="L68" s="157"/>
      <c r="M68" s="157"/>
      <c r="N68" s="157"/>
    </row>
    <row r="69" spans="1:14" x14ac:dyDescent="0.3">
      <c r="A69" s="17" t="str">
        <f t="shared" ref="A69:A79" si="6">A54</f>
        <v>Transmission</v>
      </c>
      <c r="B69" s="17" t="s">
        <v>36</v>
      </c>
      <c r="C69" s="17" t="s">
        <v>55</v>
      </c>
      <c r="D69" s="108">
        <f>IF(LEFT($A$67,5)="blank",0,'Input General'!D32+(SUMPRODUCT('Input General'!D33:D36,'Input General'!D131:D134)*'Input Global'!D$22))</f>
        <v>0</v>
      </c>
      <c r="E69" s="108">
        <f>IF(LEFT($A$67,5)="blank",0,'Input General'!E32+(SUMPRODUCT('Input General'!E33:E36,'Input General'!E131:E134)*'Input Global'!E$22))</f>
        <v>4696.4309826740309</v>
      </c>
      <c r="F69" s="108">
        <f>IF(LEFT($A$67,5)="blank",0,'Input General'!F32+(SUMPRODUCT('Input General'!F33:F36,'Input General'!F131:F134)*'Input Global'!F$22))</f>
        <v>4696.0654467268905</v>
      </c>
      <c r="G69" s="108">
        <f>IF(LEFT($A$67,5)="blank",0,'Input General'!G32+(SUMPRODUCT('Input General'!G33:G36,'Input General'!G131:G134)*'Input Global'!G$22))</f>
        <v>4681.1593617962271</v>
      </c>
      <c r="H69" s="108">
        <f>IF(LEFT($A$67,5)="blank",0,'Input General'!H32+(SUMPRODUCT('Input General'!H33:H36,'Input General'!H131:H134)*'Input Global'!H$22))</f>
        <v>4692.6580076502969</v>
      </c>
    </row>
    <row r="70" spans="1:14" x14ac:dyDescent="0.3">
      <c r="A70" s="17" t="str">
        <f t="shared" si="6"/>
        <v>Distribution</v>
      </c>
      <c r="B70" s="17" t="s">
        <v>36</v>
      </c>
      <c r="C70" s="17" t="s">
        <v>55</v>
      </c>
      <c r="D70" s="108">
        <f>IF(LEFT($A$67,5)="blank",0,'Input General'!D64+SUMPRODUCT('Input General'!D65:D68,'Input General'!D131:D134)*'Input Global'!D$22+'Input General'!D75)</f>
        <v>0</v>
      </c>
      <c r="E70" s="108">
        <f>IF(LEFT($A$67,5)="blank",0,'Input General'!E64+SUMPRODUCT('Input General'!E65:E68,'Input General'!E131:E134)*'Input Global'!E$22+'Input General'!E75)</f>
        <v>46034.113542638501</v>
      </c>
      <c r="F70" s="108">
        <f>IF(LEFT($A$67,5)="blank",0,'Input General'!F64+SUMPRODUCT('Input General'!F65:F68,'Input General'!F131:F134)*'Input Global'!F$22+'Input General'!F75)</f>
        <v>49511.647190717289</v>
      </c>
      <c r="G70" s="108">
        <f>IF(LEFT($A$67,5)="blank",0,'Input General'!G64+SUMPRODUCT('Input General'!G65:G68,'Input General'!G131:G134)*'Input Global'!G$22+'Input General'!G75)</f>
        <v>52196.285245207393</v>
      </c>
      <c r="H70" s="108">
        <f>IF(LEFT($A$67,5)="blank",0,'Input General'!H64+SUMPRODUCT('Input General'!H65:H68,'Input General'!H131:H134)*'Input Global'!H$22+'Input General'!H75)</f>
        <v>53948.981416067443</v>
      </c>
    </row>
    <row r="72" spans="1:14" x14ac:dyDescent="0.3">
      <c r="A72" s="17" t="str">
        <f t="shared" si="6"/>
        <v>Retail and Wholesale</v>
      </c>
      <c r="B72" s="17" t="s">
        <v>36</v>
      </c>
      <c r="C72" s="17" t="s">
        <v>55</v>
      </c>
      <c r="D72" s="108">
        <f ca="1">IF(LEFT($A$67,5)="blank",0,VLOOKUP($B$2,'Input General'!$A$247:$H$251,COLUMN(D72),FALSE)*'Input Global'!D$37)+IF(LEFT($A$67,5)="blank",0,VLOOKUP($B$2,dist5wholesale,COLUMN(D68),FALSE)*'Input Global'!D22)</f>
        <v>37004.370213838418</v>
      </c>
      <c r="E72" s="108">
        <f ca="1">IF(LEFT($A$67,5)="blank",0,VLOOKUP($B$2,'Input General'!$A$247:$H$251,COLUMN(E72),FALSE)*'Input Global'!E$37)+IF(LEFT($A$67,5)="blank",0,VLOOKUP($B$2,dist5wholesale,COLUMN(E68),FALSE)*'Input Global'!E22)</f>
        <v>78950.951703408049</v>
      </c>
      <c r="F72" s="108">
        <f ca="1">IF(LEFT($A$67,5)="blank",0,VLOOKUP($B$2,'Input General'!$A$247:$H$251,COLUMN(F72),FALSE)*'Input Global'!F$37)+IF(LEFT($A$67,5)="blank",0,VLOOKUP($B$2,dist5wholesale,COLUMN(F68),FALSE)*'Input Global'!F22)</f>
        <v>78783.505659763265</v>
      </c>
      <c r="G72" s="108">
        <f ca="1">IF(LEFT($A$67,5)="blank",0,VLOOKUP($B$2,'Input General'!$A$247:$H$251,COLUMN(G72),FALSE)*'Input Global'!G$37)+IF(LEFT($A$67,5)="blank",0,VLOOKUP($B$2,dist5wholesale,COLUMN(G68),FALSE)*'Input Global'!G22)</f>
        <v>73996.882332162801</v>
      </c>
      <c r="H72" s="108">
        <f ca="1">IF(LEFT($A$67,5)="blank",0,VLOOKUP($B$2,'Input General'!$A$247:$H$251,COLUMN(H72),FALSE)*'Input Global'!H$37)+IF(LEFT($A$67,5)="blank",0,VLOOKUP($B$2,dist5wholesale,COLUMN(H68),FALSE)*'Input Global'!H22)</f>
        <v>76469.632943256642</v>
      </c>
    </row>
    <row r="73" spans="1:14" x14ac:dyDescent="0.3">
      <c r="A73" s="17" t="str">
        <f t="shared" si="6"/>
        <v>Green Schemes</v>
      </c>
      <c r="D73" s="103"/>
      <c r="E73" s="103"/>
      <c r="F73" s="103"/>
      <c r="G73" s="103"/>
      <c r="H73" s="103"/>
    </row>
    <row r="74" spans="1:14" x14ac:dyDescent="0.3">
      <c r="A74" s="19" t="str">
        <f t="shared" si="6"/>
        <v>Feed-in Tariffs</v>
      </c>
      <c r="B74" s="17" t="s">
        <v>36</v>
      </c>
      <c r="C74" s="17" t="s">
        <v>55</v>
      </c>
      <c r="D74" s="108">
        <f>IF(LEFT($A$67,5)="blank",0,'Input General'!D103+SUMPRODUCT('Input General'!D104:D107,'Input General'!D131:D134)*'Input Global'!D$22)</f>
        <v>0</v>
      </c>
      <c r="E74" s="108">
        <f>IF(LEFT($A$67,5)="blank",0,'Input General'!E103+SUMPRODUCT('Input General'!E104:E107,'Input General'!E131:E134)*'Input Global'!E$22)</f>
        <v>229.20177570253537</v>
      </c>
      <c r="F74" s="108">
        <f>IF(LEFT($A$67,5)="blank",0,'Input General'!F103+SUMPRODUCT('Input General'!F104:F107,'Input General'!F131:F134)*'Input Global'!F$22)</f>
        <v>229.70308331962232</v>
      </c>
      <c r="G74" s="108">
        <f>IF(LEFT($A$67,5)="blank",0,'Input General'!G103+SUMPRODUCT('Input General'!G104:G107,'Input General'!G131:G134)*'Input Global'!G$22)</f>
        <v>229.42824191938192</v>
      </c>
      <c r="H74" s="108">
        <f>IF(LEFT($A$67,5)="blank",0,'Input General'!H103+SUMPRODUCT('Input General'!H104:H107,'Input General'!H131:H134)*'Input Global'!H$22)</f>
        <v>230.54162513890296</v>
      </c>
    </row>
    <row r="75" spans="1:14" x14ac:dyDescent="0.3">
      <c r="A75" s="19" t="str">
        <f t="shared" si="6"/>
        <v>Carbon costs</v>
      </c>
      <c r="B75" s="17" t="s">
        <v>36</v>
      </c>
      <c r="C75" s="17" t="s">
        <v>55</v>
      </c>
      <c r="D75" s="108">
        <f ca="1">IF(LEFT($A$67,5)="blank",0,VLOOKUP($B$2,'Input General'!$A$280:$H$284,COLUMN(D75),FALSE)*'Input Global'!D$22)</f>
        <v>0</v>
      </c>
      <c r="E75" s="108">
        <f ca="1">IF(LEFT($A$67,5)="blank",0,VLOOKUP($B$2,'Input General'!$A$280:$H$284,COLUMN(E75),FALSE)*'Input Global'!E$22)</f>
        <v>0</v>
      </c>
      <c r="F75" s="108">
        <f ca="1">IF(LEFT($A$67,5)="blank",0,VLOOKUP($B$2,'Input General'!$A$280:$H$284,COLUMN(F75),FALSE)*'Input Global'!F$22)</f>
        <v>10244.597444220091</v>
      </c>
      <c r="G75" s="108">
        <f ca="1">IF(LEFT($A$67,5)="blank",0,VLOOKUP($B$2,'Input General'!$A$280:$H$284,COLUMN(G75),FALSE)*'Input Global'!G$22)</f>
        <v>12222.483859746704</v>
      </c>
      <c r="H75" s="108">
        <f ca="1">IF(LEFT($A$67,5)="blank",0,VLOOKUP($B$2,'Input General'!$A$280:$H$284,COLUMN(H75),FALSE)*'Input Global'!H$22)</f>
        <v>12704.20690886271</v>
      </c>
    </row>
    <row r="76" spans="1:14" x14ac:dyDescent="0.3">
      <c r="A76" s="19" t="str">
        <f t="shared" si="6"/>
        <v>Large Scale Renewable Energy Target</v>
      </c>
      <c r="B76" s="17" t="s">
        <v>36</v>
      </c>
      <c r="C76" s="17" t="s">
        <v>55</v>
      </c>
      <c r="D76" s="108">
        <f ca="1">IF(LEFT($A$67,5)="blank",0,VLOOKUP($B$2,'Input General'!$A344:$H348,COLUMN(D76),FALSE)*'Input Global'!D22)</f>
        <v>1207.2319490745772</v>
      </c>
      <c r="E76" s="108">
        <f ca="1">IF(LEFT($A$67,5)="blank",0,VLOOKUP($B$2,'Input General'!$A344:$H348,COLUMN(E76),FALSE)*'Input Global'!E22)</f>
        <v>2070.6471001134769</v>
      </c>
      <c r="F76" s="108">
        <f ca="1">IF(LEFT($A$67,5)="blank",0,VLOOKUP($B$2,'Input General'!$A344:$H348,COLUMN(F76),FALSE)*'Input Global'!F22)</f>
        <v>3031.3917806135009</v>
      </c>
      <c r="G76" s="108">
        <f ca="1">IF(LEFT($A$67,5)="blank",0,VLOOKUP($B$2,'Input General'!$A344:$H348,COLUMN(G76),FALSE)*'Input Global'!G22)</f>
        <v>3165.2888405838162</v>
      </c>
      <c r="H76" s="108">
        <f ca="1">IF(LEFT($A$67,5)="blank",0,VLOOKUP($B$2,'Input General'!$A344:$H348,COLUMN(H76),FALSE)*'Input Global'!H22)</f>
        <v>3286.0192301240681</v>
      </c>
    </row>
    <row r="77" spans="1:14" x14ac:dyDescent="0.3">
      <c r="A77" s="19" t="str">
        <f t="shared" si="6"/>
        <v>Small Scale Renewable Energy Scheme</v>
      </c>
      <c r="B77" s="17" t="s">
        <v>36</v>
      </c>
      <c r="C77" s="17" t="s">
        <v>55</v>
      </c>
      <c r="D77" s="108">
        <f ca="1">IF(LEFT($A$67,5)="blank",0,'Input General'!D155*'Input Global'!D$22)</f>
        <v>2085.1764769245315</v>
      </c>
      <c r="E77" s="108">
        <f ca="1">IF(LEFT($A$67,5)="blank",0,'Input General'!E155*'Input Global'!E$22)</f>
        <v>2474.3240707424361</v>
      </c>
      <c r="F77" s="108">
        <f ca="1">IF(LEFT($A$67,5)="blank",0,'Input General'!F155*'Input Global'!F$22)</f>
        <v>1317.9953755290896</v>
      </c>
      <c r="G77" s="108">
        <f ca="1">IF(LEFT($A$67,5)="blank",0,'Input General'!G155*'Input Global'!G$22)</f>
        <v>565.25771446813451</v>
      </c>
      <c r="H77" s="108">
        <f ca="1">IF(LEFT($A$67,5)="blank",0,'Input General'!H155*'Input Global'!H$22)</f>
        <v>481.52387887543739</v>
      </c>
    </row>
    <row r="78" spans="1:14" x14ac:dyDescent="0.3">
      <c r="A78" s="19" t="str">
        <f t="shared" si="6"/>
        <v>Energy Saver Incentive</v>
      </c>
      <c r="B78" s="17" t="s">
        <v>36</v>
      </c>
      <c r="C78" s="17" t="s">
        <v>55</v>
      </c>
      <c r="D78" s="108">
        <f ca="1">IF(LEFT($A$67,5)="blank",0,VLOOKUP($B$2,'Input General'!$A$183:$H$187,COLUMN(D78),FALSE)*'Input Global'!D$22)</f>
        <v>1848.2570603249551</v>
      </c>
      <c r="E78" s="108">
        <f ca="1">IF(LEFT($A$67,5)="blank",0,VLOOKUP($B$2,'Input General'!$A$183:$H$187,COLUMN(E78),FALSE)*'Input Global'!E$22)</f>
        <v>1824.2590311018121</v>
      </c>
      <c r="F78" s="108">
        <f ca="1">IF(LEFT($A$67,5)="blank",0,VLOOKUP($B$2,'Input General'!$A$183:$H$187,COLUMN(F78),FALSE)*'Input Global'!F$22)</f>
        <v>1737.9227807159082</v>
      </c>
      <c r="G78" s="108">
        <f ca="1">IF(LEFT($A$67,5)="blank",0,VLOOKUP($B$2,'Input General'!$A$183:$H$187,COLUMN(G78),FALSE)*'Input Global'!G$22)</f>
        <v>1693.5057010159676</v>
      </c>
      <c r="H78" s="108">
        <f ca="1">IF(LEFT($A$67,5)="blank",0,VLOOKUP($B$2,'Input General'!$A$183:$H$187,COLUMN(H78),FALSE)*'Input Global'!H$22)</f>
        <v>1660.2185831154577</v>
      </c>
    </row>
    <row r="79" spans="1:14" x14ac:dyDescent="0.3">
      <c r="A79" s="19" t="str">
        <f t="shared" si="6"/>
        <v>blank</v>
      </c>
      <c r="B79" s="17" t="s">
        <v>36</v>
      </c>
      <c r="C79" s="17" t="s">
        <v>55</v>
      </c>
      <c r="D79" s="108">
        <f ca="1">IF(LEFT($A$67,5)="blank",0,VLOOKUP($B$2,'Input General'!$A$215:$H$219,COLUMN(D79),FALSE)*'Input Global'!D$22)</f>
        <v>0</v>
      </c>
      <c r="E79" s="108">
        <f ca="1">IF(LEFT($A$67,5)="blank",0,VLOOKUP($B$2,'Input General'!$A$215:$H$219,COLUMN(E79),FALSE)*'Input Global'!E$22)</f>
        <v>0</v>
      </c>
      <c r="F79" s="108">
        <f ca="1">IF(LEFT($A$67,5)="blank",0,VLOOKUP($B$2,'Input General'!$A$215:$H$219,COLUMN(F79),FALSE)*'Input Global'!F$22)</f>
        <v>0</v>
      </c>
      <c r="G79" s="108">
        <f ca="1">IF(LEFT($A$67,5)="blank",0,VLOOKUP($B$2,'Input General'!$A$215:$H$219,COLUMN(G79),FALSE)*'Input Global'!G$22)</f>
        <v>0</v>
      </c>
      <c r="H79" s="108">
        <f ca="1">IF(LEFT($A$67,5)="blank",0,VLOOKUP($B$2,'Input General'!$A$215:$H$219,COLUMN(H79),FALSE)*'Input Global'!H$22)</f>
        <v>0</v>
      </c>
    </row>
    <row r="80" spans="1:14" x14ac:dyDescent="0.3">
      <c r="A80" s="20" t="s">
        <v>53</v>
      </c>
      <c r="B80" s="20" t="s">
        <v>36</v>
      </c>
      <c r="C80" s="20" t="s">
        <v>55</v>
      </c>
      <c r="D80" s="108">
        <f ca="1">SUM(D68:D79)</f>
        <v>42145.035700162487</v>
      </c>
      <c r="E80" s="108">
        <f t="shared" ref="E80:H80" ca="1" si="7">SUM(E68:E79)</f>
        <v>136279.92820638084</v>
      </c>
      <c r="F80" s="108">
        <f t="shared" ca="1" si="7"/>
        <v>149552.82876160566</v>
      </c>
      <c r="G80" s="108">
        <f t="shared" ca="1" si="7"/>
        <v>148750.29129690045</v>
      </c>
      <c r="H80" s="108">
        <f t="shared" ca="1" si="7"/>
        <v>153473.78259309099</v>
      </c>
    </row>
    <row r="81" spans="1:8" x14ac:dyDescent="0.3">
      <c r="A81" s="135"/>
      <c r="B81" s="135"/>
      <c r="C81" s="135"/>
      <c r="D81" s="136"/>
      <c r="E81" s="136"/>
      <c r="F81" s="136"/>
      <c r="G81" s="136"/>
      <c r="H81" s="136"/>
    </row>
    <row r="82" spans="1:8" ht="18.75" x14ac:dyDescent="0.3">
      <c r="A82" s="16" t="s">
        <v>54</v>
      </c>
      <c r="B82" s="16" t="s">
        <v>41</v>
      </c>
      <c r="D82" s="103"/>
      <c r="E82" s="103"/>
      <c r="F82" s="103"/>
      <c r="G82" s="103"/>
      <c r="H82" s="103"/>
    </row>
    <row r="84" spans="1:8" x14ac:dyDescent="0.3">
      <c r="A84" s="18" t="str">
        <f>Dist1</f>
        <v>Citipower</v>
      </c>
    </row>
    <row r="86" spans="1:8" x14ac:dyDescent="0.3">
      <c r="A86" s="17" t="str">
        <f t="shared" ref="A86:A96" si="8">A69</f>
        <v>Transmission</v>
      </c>
      <c r="B86" s="17" t="s">
        <v>36</v>
      </c>
      <c r="C86" s="17" t="s">
        <v>11</v>
      </c>
      <c r="D86" s="108">
        <f>IF(LEFT($A$84,5)="blank",0,D9/'Input Global'!D$18)</f>
        <v>0</v>
      </c>
      <c r="E86" s="108">
        <f>IF(LEFT($A$84,5)="blank",0,E9/'Input Global'!E$18)</f>
        <v>1.0036378510908099</v>
      </c>
      <c r="F86" s="108">
        <f>IF(LEFT($A$84,5)="blank",0,F9/'Input Global'!F$18)</f>
        <v>1.0270565898303081</v>
      </c>
      <c r="G86" s="108">
        <f>IF(LEFT($A$84,5)="blank",0,G9/'Input Global'!G$18)</f>
        <v>1.051432803745763</v>
      </c>
      <c r="H86" s="108">
        <f>IF(LEFT($A$84,5)="blank",0,H9/'Input Global'!H$18)</f>
        <v>1.0757753652500264</v>
      </c>
    </row>
    <row r="87" spans="1:8" x14ac:dyDescent="0.3">
      <c r="A87" s="17" t="str">
        <f t="shared" si="8"/>
        <v>Distribution</v>
      </c>
      <c r="B87" s="17" t="s">
        <v>36</v>
      </c>
      <c r="C87" s="17" t="s">
        <v>11</v>
      </c>
      <c r="D87" s="108">
        <f>IF(LEFT($A$84,5)="blank",0,D10/'Input Global'!D$18)</f>
        <v>0</v>
      </c>
      <c r="E87" s="108">
        <f>IF(LEFT($A$84,5)="blank",0,E10/'Input Global'!E$18)</f>
        <v>6.8538447253772814</v>
      </c>
      <c r="F87" s="108">
        <f>IF(LEFT($A$84,5)="blank",0,F10/'Input Global'!F$18)</f>
        <v>7.6877150734816615</v>
      </c>
      <c r="G87" s="108">
        <f>IF(LEFT($A$84,5)="blank",0,G10/'Input Global'!G$18)</f>
        <v>8.7608109698470322</v>
      </c>
      <c r="H87" s="108">
        <f>IF(LEFT($A$84,5)="blank",0,H10/'Input Global'!H$18)</f>
        <v>9.887034526115178</v>
      </c>
    </row>
    <row r="89" spans="1:8" x14ac:dyDescent="0.3">
      <c r="A89" s="17" t="str">
        <f t="shared" si="8"/>
        <v>Retail and Wholesale</v>
      </c>
      <c r="B89" s="17" t="s">
        <v>36</v>
      </c>
      <c r="C89" s="17" t="s">
        <v>11</v>
      </c>
      <c r="D89" s="108">
        <f ca="1">IF(LEFT($A$84,5)="blank",0,D12/'Input Global'!D$18)</f>
        <v>6.3719017275711742</v>
      </c>
      <c r="E89" s="108">
        <f ca="1">IF(LEFT($A$84,5)="blank",0,E12/'Input Global'!E$18)</f>
        <v>18.107404734813731</v>
      </c>
      <c r="F89" s="108">
        <f ca="1">IF(LEFT($A$84,5)="blank",0,F12/'Input Global'!F$18)</f>
        <v>16.948834122612851</v>
      </c>
      <c r="G89" s="108">
        <f ca="1">IF(LEFT($A$84,5)="blank",0,G12/'Input Global'!G$18)</f>
        <v>16.6009672061424</v>
      </c>
      <c r="H89" s="108">
        <f ca="1">IF(LEFT($A$84,5)="blank",0,H12/'Input Global'!H$18)</f>
        <v>17.681902479187407</v>
      </c>
    </row>
    <row r="90" spans="1:8" x14ac:dyDescent="0.3">
      <c r="A90" s="17" t="str">
        <f t="shared" si="8"/>
        <v>Green Schemes</v>
      </c>
      <c r="C90" s="17" t="s">
        <v>11</v>
      </c>
      <c r="D90" s="103"/>
      <c r="E90" s="103"/>
      <c r="F90" s="103"/>
      <c r="G90" s="103"/>
      <c r="H90" s="103"/>
    </row>
    <row r="91" spans="1:8" x14ac:dyDescent="0.3">
      <c r="A91" s="19" t="str">
        <f t="shared" si="8"/>
        <v>Feed-in Tariffs</v>
      </c>
      <c r="B91" s="17" t="s">
        <v>36</v>
      </c>
      <c r="C91" s="17" t="s">
        <v>11</v>
      </c>
      <c r="D91" s="108">
        <f>IF(LEFT($A$84,5)="blank",0,D14/'Input Global'!D$18)</f>
        <v>0</v>
      </c>
      <c r="E91" s="108">
        <f>IF(LEFT($A$84,5)="blank",0,E14/'Input Global'!E$18)</f>
        <v>6.3084530362979896E-2</v>
      </c>
      <c r="F91" s="108">
        <f>IF(LEFT($A$84,5)="blank",0,F14/'Input Global'!F$18)</f>
        <v>6.5392744002186406E-2</v>
      </c>
      <c r="G91" s="108">
        <f>IF(LEFT($A$84,5)="blank",0,G14/'Input Global'!G$18)</f>
        <v>6.7910661367941841E-2</v>
      </c>
      <c r="H91" s="108">
        <f>IF(LEFT($A$84,5)="blank",0,H14/'Input Global'!H$18)</f>
        <v>7.0318536124230599E-2</v>
      </c>
    </row>
    <row r="92" spans="1:8" x14ac:dyDescent="0.3">
      <c r="A92" s="19" t="str">
        <f t="shared" si="8"/>
        <v>Carbon costs</v>
      </c>
      <c r="B92" s="17" t="s">
        <v>36</v>
      </c>
      <c r="C92" s="17" t="s">
        <v>11</v>
      </c>
      <c r="D92" s="108">
        <f ca="1">IF(LEFT($A$84,5)="blank",0,D15/'Input Global'!D$18)</f>
        <v>0</v>
      </c>
      <c r="E92" s="108">
        <f ca="1">IF(LEFT($A$84,5)="blank",0,E15/'Input Global'!E$18)</f>
        <v>0</v>
      </c>
      <c r="F92" s="108">
        <f ca="1">IF(LEFT($A$84,5)="blank",0,F15/'Input Global'!F$18)</f>
        <v>2.2400000000000002</v>
      </c>
      <c r="G92" s="108">
        <f ca="1">IF(LEFT($A$84,5)="blank",0,G15/'Input Global'!G$18)</f>
        <v>2.5063856367024897</v>
      </c>
      <c r="H92" s="108">
        <f ca="1">IF(LEFT($A$84,5)="blank",0,H15/'Input Global'!H$18)</f>
        <v>2.4506375937736258</v>
      </c>
    </row>
    <row r="93" spans="1:8" x14ac:dyDescent="0.3">
      <c r="A93" s="19" t="str">
        <f t="shared" si="8"/>
        <v>Large Scale Renewable Energy Target</v>
      </c>
      <c r="B93" s="17" t="s">
        <v>36</v>
      </c>
      <c r="C93" s="17" t="s">
        <v>11</v>
      </c>
      <c r="D93" s="108">
        <f ca="1">IF(LEFT($A$84,5)="blank",0,D16/'Input Global'!D$18)</f>
        <v>0.25473754178777863</v>
      </c>
      <c r="E93" s="108">
        <f ca="1">IF(LEFT($A$84,5)="blank",0,E16/'Input Global'!E$18)</f>
        <v>0.44267417909205159</v>
      </c>
      <c r="F93" s="108">
        <f ca="1">IF(LEFT($A$84,5)="blank",0,F16/'Input Global'!F$18)</f>
        <v>0.6628193665535661</v>
      </c>
      <c r="G93" s="108">
        <f ca="1">IF(LEFT($A$84,5)="blank",0,G16/'Input Global'!G$18)</f>
        <v>0.71024842650382625</v>
      </c>
      <c r="H93" s="108">
        <f ca="1">IF(LEFT($A$84,5)="blank",0,H16/'Input Global'!H$18)</f>
        <v>0.75212223266646072</v>
      </c>
    </row>
    <row r="94" spans="1:8" x14ac:dyDescent="0.3">
      <c r="A94" s="19" t="str">
        <f t="shared" si="8"/>
        <v>Small Scale Renewable Energy Scheme</v>
      </c>
      <c r="B94" s="17" t="s">
        <v>36</v>
      </c>
      <c r="C94" s="17" t="s">
        <v>11</v>
      </c>
      <c r="D94" s="108">
        <f ca="1">IF(LEFT($A$84,5)="blank",0,D17/'Input Global'!D$18)</f>
        <v>0.43999227350852893</v>
      </c>
      <c r="E94" s="108">
        <f ca="1">IF(LEFT($A$84,5)="blank",0,E17/'Input Global'!E$18)</f>
        <v>0.52897443353026441</v>
      </c>
      <c r="F94" s="108">
        <f ca="1">IF(LEFT($A$84,5)="blank",0,F17/'Input Global'!F$18)</f>
        <v>0.2881821035194338</v>
      </c>
      <c r="G94" s="108">
        <f ca="1">IF(LEFT($A$84,5)="blank",0,G17/'Input Global'!G$18)</f>
        <v>0.12683626123551275</v>
      </c>
      <c r="H94" s="108">
        <f ca="1">IF(LEFT($A$84,5)="blank",0,H17/'Input Global'!H$18)</f>
        <v>0.11021384523313774</v>
      </c>
    </row>
    <row r="95" spans="1:8" x14ac:dyDescent="0.3">
      <c r="A95" s="19" t="str">
        <f t="shared" si="8"/>
        <v>Energy Saver Incentive</v>
      </c>
      <c r="B95" s="17" t="s">
        <v>36</v>
      </c>
      <c r="C95" s="17" t="s">
        <v>11</v>
      </c>
      <c r="D95" s="108">
        <f ca="1">IF(LEFT($A$84,5)="blank",0,D18/'Input Global'!D$18)</f>
        <v>0.39</v>
      </c>
      <c r="E95" s="108">
        <f ca="1">IF(LEFT($A$84,5)="blank",0,E18/'Input Global'!E$18)</f>
        <v>0.39</v>
      </c>
      <c r="F95" s="108">
        <f ca="1">IF(LEFT($A$84,5)="blank",0,F18/'Input Global'!F$18)</f>
        <v>0.38</v>
      </c>
      <c r="G95" s="108">
        <f ca="1">IF(LEFT($A$84,5)="blank",0,G18/'Input Global'!G$18)</f>
        <v>0.38</v>
      </c>
      <c r="H95" s="108">
        <f ca="1">IF(LEFT($A$84,5)="blank",0,H18/'Input Global'!H$18)</f>
        <v>0.38</v>
      </c>
    </row>
    <row r="96" spans="1:8" x14ac:dyDescent="0.3">
      <c r="A96" s="19" t="str">
        <f t="shared" si="8"/>
        <v>blank</v>
      </c>
      <c r="B96" s="17" t="s">
        <v>36</v>
      </c>
      <c r="C96" s="17" t="s">
        <v>11</v>
      </c>
      <c r="D96" s="108">
        <f ca="1">IF(LEFT($A$84,5)="blank",0,D19/'Input Global'!D$18)</f>
        <v>0</v>
      </c>
      <c r="E96" s="108">
        <f ca="1">IF(LEFT($A$84,5)="blank",0,E19/'Input Global'!E$18)</f>
        <v>0</v>
      </c>
      <c r="F96" s="108">
        <f ca="1">IF(LEFT($A$84,5)="blank",0,F19/'Input Global'!F$18)</f>
        <v>0</v>
      </c>
      <c r="G96" s="108">
        <f ca="1">IF(LEFT($A$84,5)="blank",0,G19/'Input Global'!G$18)</f>
        <v>0</v>
      </c>
      <c r="H96" s="108">
        <f ca="1">IF(LEFT($A$84,5)="blank",0,H19/'Input Global'!H$18)</f>
        <v>0</v>
      </c>
    </row>
    <row r="97" spans="1:8" x14ac:dyDescent="0.3">
      <c r="A97" s="20" t="s">
        <v>53</v>
      </c>
      <c r="B97" s="20" t="s">
        <v>36</v>
      </c>
      <c r="C97" s="20" t="s">
        <v>11</v>
      </c>
      <c r="D97" s="108">
        <f ca="1">SUM(D85:D96)</f>
        <v>7.4566315428674814</v>
      </c>
      <c r="E97" s="108">
        <f t="shared" ref="E97:H97" ca="1" si="9">SUM(E85:E96)</f>
        <v>27.389620454267117</v>
      </c>
      <c r="F97" s="108">
        <f t="shared" ca="1" si="9"/>
        <v>29.300000000000004</v>
      </c>
      <c r="G97" s="108">
        <f t="shared" ca="1" si="9"/>
        <v>30.204591965544971</v>
      </c>
      <c r="H97" s="108">
        <f t="shared" ca="1" si="9"/>
        <v>32.408004578350067</v>
      </c>
    </row>
    <row r="98" spans="1:8" x14ac:dyDescent="0.3">
      <c r="A98" s="135"/>
      <c r="B98" s="135"/>
      <c r="C98" s="135"/>
      <c r="D98" s="136"/>
      <c r="E98" s="136"/>
      <c r="F98" s="136"/>
      <c r="G98" s="136"/>
      <c r="H98" s="136"/>
    </row>
    <row r="99" spans="1:8" x14ac:dyDescent="0.3">
      <c r="A99" s="18" t="str">
        <f>Dist2</f>
        <v>Powercor</v>
      </c>
    </row>
    <row r="101" spans="1:8" x14ac:dyDescent="0.3">
      <c r="A101" s="17" t="str">
        <f t="shared" ref="A101:A111" si="10">A86</f>
        <v>Transmission</v>
      </c>
      <c r="B101" s="17" t="s">
        <v>36</v>
      </c>
      <c r="C101" s="17" t="s">
        <v>11</v>
      </c>
      <c r="D101" s="108">
        <f>IF(LEFT($A$99,5)="blank",0,D24/'Input Global'!D$19)</f>
        <v>0</v>
      </c>
      <c r="E101" s="108">
        <f>IF(LEFT($A$99,5)="blank",0,E24/'Input Global'!E$19)</f>
        <v>1.3261051052416393</v>
      </c>
      <c r="F101" s="108">
        <f>IF(LEFT($A$99,5)="blank",0,F24/'Input Global'!F$19)</f>
        <v>1.3597219912972978</v>
      </c>
      <c r="G101" s="108">
        <f>IF(LEFT($A$99,5)="blank",0,G24/'Input Global'!G$19)</f>
        <v>1.395203749889431</v>
      </c>
      <c r="H101" s="108">
        <f>IF(LEFT($A$99,5)="blank",0,H24/'Input Global'!H$19)</f>
        <v>1.4300698070905618</v>
      </c>
    </row>
    <row r="102" spans="1:8" x14ac:dyDescent="0.3">
      <c r="A102" s="17" t="str">
        <f t="shared" si="10"/>
        <v>Distribution</v>
      </c>
      <c r="B102" s="17" t="s">
        <v>36</v>
      </c>
      <c r="C102" s="17" t="s">
        <v>11</v>
      </c>
      <c r="D102" s="108">
        <f>IF(LEFT($A$99,5)="blank",0,D25/'Input Global'!D$19)</f>
        <v>0</v>
      </c>
      <c r="E102" s="108">
        <f>IF(LEFT($A$99,5)="blank",0,E25/'Input Global'!E$19)</f>
        <v>8.622202621612157</v>
      </c>
      <c r="F102" s="108">
        <f>IF(LEFT($A$99,5)="blank",0,F25/'Input Global'!F$19)</f>
        <v>9.5391960248663956</v>
      </c>
      <c r="G102" s="108">
        <f>IF(LEFT($A$99,5)="blank",0,G25/'Input Global'!G$19)</f>
        <v>10.577175103515302</v>
      </c>
      <c r="H102" s="108">
        <f>IF(LEFT($A$99,5)="blank",0,H25/'Input Global'!H$19)</f>
        <v>11.66237177113026</v>
      </c>
    </row>
    <row r="104" spans="1:8" x14ac:dyDescent="0.3">
      <c r="A104" s="17" t="str">
        <f t="shared" si="10"/>
        <v>Retail and Wholesale</v>
      </c>
      <c r="B104" s="17" t="s">
        <v>36</v>
      </c>
      <c r="C104" s="17" t="s">
        <v>11</v>
      </c>
      <c r="D104" s="108">
        <f ca="1">IF(LEFT($A$99,5)="blank",0,D27/'Input Global'!D$19)</f>
        <v>7.3737156102082606</v>
      </c>
      <c r="E104" s="108">
        <f ca="1">IF(LEFT($A$99,5)="blank",0,E27/'Input Global'!E$19)</f>
        <v>18.503179007715648</v>
      </c>
      <c r="F104" s="108">
        <f ca="1">IF(LEFT($A$99,5)="blank",0,F27/'Input Global'!F$19)</f>
        <v>18.550682973467776</v>
      </c>
      <c r="G104" s="108">
        <f ca="1">IF(LEFT($A$99,5)="blank",0,G27/'Input Global'!G$19)</f>
        <v>18.231246657790287</v>
      </c>
      <c r="H104" s="108">
        <f ca="1">IF(LEFT($A$99,5)="blank",0,H27/'Input Global'!H$19)</f>
        <v>19.349638614885475</v>
      </c>
    </row>
    <row r="105" spans="1:8" x14ac:dyDescent="0.3">
      <c r="A105" s="17" t="str">
        <f t="shared" si="10"/>
        <v>Green Schemes</v>
      </c>
      <c r="C105" s="17" t="s">
        <v>11</v>
      </c>
      <c r="D105" s="103"/>
      <c r="E105" s="103"/>
      <c r="F105" s="103"/>
      <c r="G105" s="103"/>
      <c r="H105" s="103"/>
    </row>
    <row r="106" spans="1:8" x14ac:dyDescent="0.3">
      <c r="A106" s="19" t="str">
        <f t="shared" si="10"/>
        <v>Feed-in Tariffs</v>
      </c>
      <c r="B106" s="17" t="s">
        <v>36</v>
      </c>
      <c r="C106" s="17" t="s">
        <v>11</v>
      </c>
      <c r="D106" s="108">
        <f>IF(LEFT($A$99,5)="blank",0,D29/'Input Global'!D$19)</f>
        <v>0</v>
      </c>
      <c r="E106" s="108">
        <f>IF(LEFT($A$99,5)="blank",0,E29/'Input Global'!E$19)</f>
        <v>0.31823094852919931</v>
      </c>
      <c r="F106" s="108">
        <f>IF(LEFT($A$99,5)="blank",0,F29/'Input Global'!F$19)</f>
        <v>0.32758737030643331</v>
      </c>
      <c r="G106" s="108">
        <f>IF(LEFT($A$99,5)="blank",0,G29/'Input Global'!G$19)</f>
        <v>0.33746890237339194</v>
      </c>
      <c r="H106" s="108">
        <f>IF(LEFT($A$99,5)="blank",0,H29/'Input Global'!H$19)</f>
        <v>0.34726605604934618</v>
      </c>
    </row>
    <row r="107" spans="1:8" x14ac:dyDescent="0.3">
      <c r="A107" s="19" t="str">
        <f t="shared" si="10"/>
        <v>Carbon costs</v>
      </c>
      <c r="B107" s="17" t="s">
        <v>36</v>
      </c>
      <c r="C107" s="17" t="s">
        <v>11</v>
      </c>
      <c r="D107" s="108">
        <f ca="1">IF(LEFT($A$99,5)="blank",0,D30/'Input Global'!D$19)</f>
        <v>0</v>
      </c>
      <c r="E107" s="108">
        <f ca="1">IF(LEFT($A$99,5)="blank",0,E30/'Input Global'!E$19)</f>
        <v>0</v>
      </c>
      <c r="F107" s="108">
        <f ca="1">IF(LEFT($A$99,5)="blank",0,F30/'Input Global'!F$19)</f>
        <v>2.2400000000000002</v>
      </c>
      <c r="G107" s="108">
        <f ca="1">IF(LEFT($A$99,5)="blank",0,G30/'Input Global'!G$19)</f>
        <v>2.522441159419115</v>
      </c>
      <c r="H107" s="108">
        <f ca="1">IF(LEFT($A$99,5)="blank",0,H30/'Input Global'!H$19)</f>
        <v>2.4798567947853289</v>
      </c>
    </row>
    <row r="108" spans="1:8" x14ac:dyDescent="0.3">
      <c r="A108" s="19" t="str">
        <f t="shared" si="10"/>
        <v>Large Scale Renewable Energy Target</v>
      </c>
      <c r="B108" s="17" t="s">
        <v>36</v>
      </c>
      <c r="C108" s="17" t="s">
        <v>11</v>
      </c>
      <c r="D108" s="108">
        <f ca="1">IF(LEFT($A$99,5)="blank",0,D31/'Input Global'!D$19)</f>
        <v>0.25473754178777863</v>
      </c>
      <c r="E108" s="108">
        <f ca="1">IF(LEFT($A$99,5)="blank",0,E31/'Input Global'!E$19)</f>
        <v>0.44267417909205159</v>
      </c>
      <c r="F108" s="108">
        <f ca="1">IF(LEFT($A$99,5)="blank",0,F31/'Input Global'!F$19)</f>
        <v>0.6628193665535661</v>
      </c>
      <c r="G108" s="108">
        <f ca="1">IF(LEFT($A$99,5)="blank",0,G31/'Input Global'!G$19)</f>
        <v>0.71024842650382625</v>
      </c>
      <c r="H108" s="108">
        <f ca="1">IF(LEFT($A$99,5)="blank",0,H31/'Input Global'!H$19)</f>
        <v>0.75212223266646072</v>
      </c>
    </row>
    <row r="109" spans="1:8" x14ac:dyDescent="0.3">
      <c r="A109" s="19" t="str">
        <f t="shared" si="10"/>
        <v>Small Scale Renewable Energy Scheme</v>
      </c>
      <c r="B109" s="17" t="s">
        <v>36</v>
      </c>
      <c r="C109" s="17" t="s">
        <v>11</v>
      </c>
      <c r="D109" s="108">
        <f ca="1">IF(LEFT($A$99,5)="blank",0,D32/'Input Global'!D$19)</f>
        <v>0.43999227350852893</v>
      </c>
      <c r="E109" s="108">
        <f ca="1">IF(LEFT($A$99,5)="blank",0,E32/'Input Global'!E$19)</f>
        <v>0.43999227350852893</v>
      </c>
      <c r="F109" s="108">
        <f ca="1">IF(LEFT($A$99,5)="blank",0,F32/'Input Global'!F$19)</f>
        <v>0.43999227350852893</v>
      </c>
      <c r="G109" s="108">
        <f ca="1">IF(LEFT($A$99,5)="blank",0,G32/'Input Global'!G$19)</f>
        <v>0.19365177178870679</v>
      </c>
      <c r="H109" s="108">
        <f ca="1">IF(LEFT($A$99,5)="blank",0,H32/'Input Global'!H$19)</f>
        <v>0.16827290710984494</v>
      </c>
    </row>
    <row r="110" spans="1:8" x14ac:dyDescent="0.3">
      <c r="A110" s="19" t="str">
        <f t="shared" si="10"/>
        <v>Energy Saver Incentive</v>
      </c>
      <c r="B110" s="17" t="s">
        <v>36</v>
      </c>
      <c r="C110" s="17" t="s">
        <v>11</v>
      </c>
      <c r="D110" s="108">
        <f ca="1">IF(LEFT($A$99,5)="blank",0,D33/'Input Global'!D$19)</f>
        <v>0.39</v>
      </c>
      <c r="E110" s="108">
        <f ca="1">IF(LEFT($A$99,5)="blank",0,E33/'Input Global'!E$19)</f>
        <v>0.39</v>
      </c>
      <c r="F110" s="108">
        <f ca="1">IF(LEFT($A$99,5)="blank",0,F33/'Input Global'!F$19)</f>
        <v>0.38</v>
      </c>
      <c r="G110" s="108">
        <f ca="1">IF(LEFT($A$99,5)="blank",0,G33/'Input Global'!G$19)</f>
        <v>0.38</v>
      </c>
      <c r="H110" s="108">
        <f ca="1">IF(LEFT($A$99,5)="blank",0,H33/'Input Global'!H$19)</f>
        <v>0.38</v>
      </c>
    </row>
    <row r="111" spans="1:8" x14ac:dyDescent="0.3">
      <c r="A111" s="19" t="str">
        <f t="shared" si="10"/>
        <v>blank</v>
      </c>
      <c r="B111" s="17" t="s">
        <v>36</v>
      </c>
      <c r="C111" s="17" t="s">
        <v>11</v>
      </c>
      <c r="D111" s="108">
        <f ca="1">IF(LEFT($A$99,5)="blank",0,D34/'Input Global'!D$19)</f>
        <v>0</v>
      </c>
      <c r="E111" s="108">
        <f ca="1">IF(LEFT($A$99,5)="blank",0,E34/'Input Global'!E$19)</f>
        <v>0</v>
      </c>
      <c r="F111" s="108">
        <f ca="1">IF(LEFT($A$99,5)="blank",0,F34/'Input Global'!F$19)</f>
        <v>0</v>
      </c>
      <c r="G111" s="108">
        <f ca="1">IF(LEFT($A$99,5)="blank",0,G34/'Input Global'!G$19)</f>
        <v>0</v>
      </c>
      <c r="H111" s="108">
        <f ca="1">IF(LEFT($A$99,5)="blank",0,H34/'Input Global'!H$19)</f>
        <v>0</v>
      </c>
    </row>
    <row r="112" spans="1:8" x14ac:dyDescent="0.3">
      <c r="A112" s="20" t="s">
        <v>53</v>
      </c>
      <c r="B112" s="20" t="s">
        <v>36</v>
      </c>
      <c r="C112" s="20" t="s">
        <v>11</v>
      </c>
      <c r="D112" s="108">
        <f ca="1">SUM(D100:D111)</f>
        <v>8.4584454255045696</v>
      </c>
      <c r="E112" s="108">
        <f t="shared" ref="E112:H112" ca="1" si="11">SUM(E100:E111)</f>
        <v>30.042384135699223</v>
      </c>
      <c r="F112" s="108">
        <f t="shared" ca="1" si="11"/>
        <v>33.5</v>
      </c>
      <c r="G112" s="108">
        <f t="shared" ca="1" si="11"/>
        <v>34.347435771280061</v>
      </c>
      <c r="H112" s="108">
        <f t="shared" ca="1" si="11"/>
        <v>36.569598183717275</v>
      </c>
    </row>
    <row r="113" spans="1:8" x14ac:dyDescent="0.3">
      <c r="A113" s="135"/>
      <c r="B113" s="135"/>
      <c r="C113" s="135"/>
      <c r="D113" s="136"/>
      <c r="E113" s="136"/>
      <c r="F113" s="136"/>
      <c r="G113" s="136"/>
      <c r="H113" s="136"/>
    </row>
    <row r="114" spans="1:8" x14ac:dyDescent="0.3">
      <c r="A114" s="18" t="str">
        <f>Dist3</f>
        <v>SP Ausnet</v>
      </c>
    </row>
    <row r="116" spans="1:8" x14ac:dyDescent="0.3">
      <c r="A116" s="17" t="str">
        <f t="shared" ref="A116:A126" si="12">A101</f>
        <v>Transmission</v>
      </c>
      <c r="B116" s="17" t="s">
        <v>36</v>
      </c>
      <c r="C116" s="17" t="s">
        <v>11</v>
      </c>
      <c r="D116" s="108">
        <f>IF(LEFT($A$114,5)="blank",0,D39/'Input Global'!D$20)</f>
        <v>0</v>
      </c>
      <c r="E116" s="108">
        <f>IF(LEFT($A$114,5)="blank",0,E39/'Input Global'!E$20)</f>
        <v>1.0787836959432828</v>
      </c>
      <c r="F116" s="108">
        <f>IF(LEFT($A$114,5)="blank",0,F39/'Input Global'!F$20)</f>
        <v>1.1015003910790115</v>
      </c>
      <c r="G116" s="108">
        <f>IF(LEFT($A$114,5)="blank",0,G39/'Input Global'!G$20)</f>
        <v>1.1246954473911559</v>
      </c>
      <c r="H116" s="108">
        <f>IF(LEFT($A$114,5)="blank",0,H39/'Input Global'!H$20)</f>
        <v>1.1483789380621812</v>
      </c>
    </row>
    <row r="117" spans="1:8" x14ac:dyDescent="0.3">
      <c r="A117" s="17" t="str">
        <f t="shared" si="12"/>
        <v>Distribution</v>
      </c>
      <c r="B117" s="17" t="s">
        <v>36</v>
      </c>
      <c r="C117" s="17" t="s">
        <v>11</v>
      </c>
      <c r="D117" s="108">
        <f>IF(LEFT($A$114,5)="blank",0,D40/'Input Global'!D$20)</f>
        <v>0</v>
      </c>
      <c r="E117" s="108">
        <f>IF(LEFT($A$114,5)="blank",0,E40/'Input Global'!E$20)</f>
        <v>9.2278146998124573</v>
      </c>
      <c r="F117" s="108">
        <f>IF(LEFT($A$114,5)="blank",0,F40/'Input Global'!F$20)</f>
        <v>10.243241998203711</v>
      </c>
      <c r="G117" s="108">
        <f>IF(LEFT($A$114,5)="blank",0,G40/'Input Global'!G$20)</f>
        <v>11.514049686174685</v>
      </c>
      <c r="H117" s="108">
        <f>IF(LEFT($A$114,5)="blank",0,H40/'Input Global'!H$20)</f>
        <v>12.900784361842325</v>
      </c>
    </row>
    <row r="119" spans="1:8" x14ac:dyDescent="0.3">
      <c r="A119" s="17" t="str">
        <f t="shared" si="12"/>
        <v>Retail and Wholesale</v>
      </c>
      <c r="B119" s="17" t="s">
        <v>36</v>
      </c>
      <c r="C119" s="17" t="s">
        <v>11</v>
      </c>
      <c r="D119" s="108">
        <f ca="1">IF(LEFT($A$114,5)="blank",0,D42/'Input Global'!D$20)</f>
        <v>7.871243079051883</v>
      </c>
      <c r="E119" s="108">
        <f ca="1">IF(LEFT($A$114,5)="blank",0,E42/'Input Global'!E$20)</f>
        <v>17.222002545453087</v>
      </c>
      <c r="F119" s="108">
        <f ca="1">IF(LEFT($A$114,5)="blank",0,F42/'Input Global'!F$20)</f>
        <v>16.663201608676292</v>
      </c>
      <c r="G119" s="108">
        <f ca="1">IF(LEFT($A$114,5)="blank",0,G42/'Input Global'!G$20)</f>
        <v>16.698441758103293</v>
      </c>
      <c r="H119" s="108">
        <f ca="1">IF(LEFT($A$114,5)="blank",0,H42/'Input Global'!H$20)</f>
        <v>17.753801443399031</v>
      </c>
    </row>
    <row r="120" spans="1:8" x14ac:dyDescent="0.3">
      <c r="A120" s="17" t="str">
        <f t="shared" si="12"/>
        <v>Green Schemes</v>
      </c>
      <c r="C120" s="17" t="s">
        <v>11</v>
      </c>
      <c r="D120" s="103"/>
      <c r="E120" s="103"/>
      <c r="F120" s="103"/>
      <c r="G120" s="103"/>
      <c r="H120" s="103"/>
    </row>
    <row r="121" spans="1:8" x14ac:dyDescent="0.3">
      <c r="A121" s="19" t="str">
        <f t="shared" si="12"/>
        <v>Feed-in Tariffs</v>
      </c>
      <c r="B121" s="17" t="s">
        <v>36</v>
      </c>
      <c r="C121" s="17" t="s">
        <v>11</v>
      </c>
      <c r="D121" s="108">
        <f>IF(LEFT($A$114,5)="blank",0,D44/'Input Global'!D$20)</f>
        <v>0</v>
      </c>
      <c r="E121" s="108">
        <f>IF(LEFT($A$114,5)="blank",0,E44/'Input Global'!E$20)</f>
        <v>0.21444635730876013</v>
      </c>
      <c r="F121" s="108">
        <f>IF(LEFT($A$114,5)="blank",0,F44/'Input Global'!F$20)</f>
        <v>0.22105453196797845</v>
      </c>
      <c r="G121" s="108">
        <f>IF(LEFT($A$114,5)="blank",0,G44/'Input Global'!G$20)</f>
        <v>0.2280871700261681</v>
      </c>
      <c r="H121" s="108">
        <f>IF(LEFT($A$114,5)="blank",0,H44/'Input Global'!H$20)</f>
        <v>0.2350005593165477</v>
      </c>
    </row>
    <row r="122" spans="1:8" x14ac:dyDescent="0.3">
      <c r="A122" s="19" t="str">
        <f t="shared" si="12"/>
        <v>Carbon costs</v>
      </c>
      <c r="B122" s="17" t="s">
        <v>36</v>
      </c>
      <c r="C122" s="17" t="s">
        <v>11</v>
      </c>
      <c r="D122" s="108">
        <f ca="1">IF(LEFT($A$114,5)="blank",0,D45/'Input Global'!D$20)</f>
        <v>0</v>
      </c>
      <c r="E122" s="108">
        <f ca="1">IF(LEFT($A$114,5)="blank",0,E45/'Input Global'!E$20)</f>
        <v>0</v>
      </c>
      <c r="F122" s="108">
        <f ca="1">IF(LEFT($A$114,5)="blank",0,F45/'Input Global'!F$20)</f>
        <v>2.2400000000000002</v>
      </c>
      <c r="G122" s="108">
        <f ca="1">IF(LEFT($A$114,5)="blank",0,G45/'Input Global'!G$20)</f>
        <v>2.4899558233391459</v>
      </c>
      <c r="H122" s="108">
        <f ca="1">IF(LEFT($A$114,5)="blank",0,H45/'Input Global'!H$20)</f>
        <v>2.4552372942782954</v>
      </c>
    </row>
    <row r="123" spans="1:8" x14ac:dyDescent="0.3">
      <c r="A123" s="19" t="str">
        <f t="shared" si="12"/>
        <v>Large Scale Renewable Energy Target</v>
      </c>
      <c r="B123" s="17" t="s">
        <v>36</v>
      </c>
      <c r="C123" s="17" t="s">
        <v>11</v>
      </c>
      <c r="D123" s="108">
        <f ca="1">IF(LEFT($A$114,5)="blank",0,D46/'Input Global'!D$20)</f>
        <v>0.25473754178777863</v>
      </c>
      <c r="E123" s="108">
        <f ca="1">IF(LEFT($A$114,5)="blank",0,E46/'Input Global'!E$20)</f>
        <v>0.44267417909205159</v>
      </c>
      <c r="F123" s="108">
        <f ca="1">IF(LEFT($A$114,5)="blank",0,F46/'Input Global'!F$20)</f>
        <v>0.6628193665535661</v>
      </c>
      <c r="G123" s="108">
        <f ca="1">IF(LEFT($A$114,5)="blank",0,G46/'Input Global'!G$20)</f>
        <v>0.71024842650382625</v>
      </c>
      <c r="H123" s="108">
        <f ca="1">IF(LEFT($A$114,5)="blank",0,H46/'Input Global'!H$20)</f>
        <v>0.75212223266646072</v>
      </c>
    </row>
    <row r="124" spans="1:8" x14ac:dyDescent="0.3">
      <c r="A124" s="19" t="str">
        <f t="shared" si="12"/>
        <v>Small Scale Renewable Energy Scheme</v>
      </c>
      <c r="B124" s="17" t="s">
        <v>36</v>
      </c>
      <c r="C124" s="17" t="s">
        <v>11</v>
      </c>
      <c r="D124" s="108">
        <f ca="1">IF(LEFT($A$114,5)="blank",0,D47/'Input Global'!D$20)</f>
        <v>0.43999227350852893</v>
      </c>
      <c r="E124" s="108">
        <f ca="1">IF(LEFT($A$114,5)="blank",0,E47/'Input Global'!E$20)</f>
        <v>0.52897443353026441</v>
      </c>
      <c r="F124" s="108">
        <f ca="1">IF(LEFT($A$114,5)="blank",0,F47/'Input Global'!F$20)</f>
        <v>0.2881821035194338</v>
      </c>
      <c r="G124" s="108">
        <f ca="1">IF(LEFT($A$114,5)="blank",0,G47/'Input Global'!G$20)</f>
        <v>0.12683626123551256</v>
      </c>
      <c r="H124" s="108">
        <f ca="1">IF(LEFT($A$114,5)="blank",0,H47/'Input Global'!H$20)</f>
        <v>0.11021384523313771</v>
      </c>
    </row>
    <row r="125" spans="1:8" x14ac:dyDescent="0.3">
      <c r="A125" s="19" t="str">
        <f t="shared" si="12"/>
        <v>Energy Saver Incentive</v>
      </c>
      <c r="B125" s="17" t="s">
        <v>36</v>
      </c>
      <c r="C125" s="17" t="s">
        <v>11</v>
      </c>
      <c r="D125" s="108">
        <f ca="1">IF(LEFT($A$114,5)="blank",0,D48/'Input Global'!D$20)</f>
        <v>0.39</v>
      </c>
      <c r="E125" s="108">
        <f ca="1">IF(LEFT($A$114,5)="blank",0,E48/'Input Global'!E$20)</f>
        <v>0.39</v>
      </c>
      <c r="F125" s="108">
        <f ca="1">IF(LEFT($A$114,5)="blank",0,F48/'Input Global'!F$20)</f>
        <v>0.38</v>
      </c>
      <c r="G125" s="108">
        <f ca="1">IF(LEFT($A$114,5)="blank",0,G48/'Input Global'!G$20)</f>
        <v>0.38</v>
      </c>
      <c r="H125" s="108">
        <f ca="1">IF(LEFT($A$114,5)="blank",0,H48/'Input Global'!H$20)</f>
        <v>0.38</v>
      </c>
    </row>
    <row r="126" spans="1:8" x14ac:dyDescent="0.3">
      <c r="A126" s="19" t="str">
        <f t="shared" si="12"/>
        <v>blank</v>
      </c>
      <c r="B126" s="17" t="s">
        <v>36</v>
      </c>
      <c r="C126" s="17" t="s">
        <v>11</v>
      </c>
      <c r="D126" s="108">
        <f ca="1">IF(LEFT($A$114,5)="blank",0,D49/'Input Global'!D$20)</f>
        <v>0</v>
      </c>
      <c r="E126" s="108">
        <f ca="1">IF(LEFT($A$114,5)="blank",0,E49/'Input Global'!E$20)</f>
        <v>0</v>
      </c>
      <c r="F126" s="108">
        <f ca="1">IF(LEFT($A$114,5)="blank",0,F49/'Input Global'!F$20)</f>
        <v>0</v>
      </c>
      <c r="G126" s="108">
        <f ca="1">IF(LEFT($A$114,5)="blank",0,G49/'Input Global'!G$20)</f>
        <v>0</v>
      </c>
      <c r="H126" s="108">
        <f ca="1">IF(LEFT($A$114,5)="blank",0,H49/'Input Global'!H$20)</f>
        <v>0</v>
      </c>
    </row>
    <row r="127" spans="1:8" x14ac:dyDescent="0.3">
      <c r="A127" s="20" t="s">
        <v>53</v>
      </c>
      <c r="B127" s="20" t="s">
        <v>36</v>
      </c>
      <c r="C127" s="20" t="s">
        <v>11</v>
      </c>
      <c r="D127" s="108">
        <f ca="1">SUM(D115:D126)</f>
        <v>8.9559728943481929</v>
      </c>
      <c r="E127" s="108">
        <f t="shared" ref="E127:H127" ca="1" si="13">SUM(E115:E126)</f>
        <v>29.104695911139906</v>
      </c>
      <c r="F127" s="108">
        <f t="shared" ca="1" si="13"/>
        <v>31.79999999999999</v>
      </c>
      <c r="G127" s="108">
        <f t="shared" ca="1" si="13"/>
        <v>33.272314572773787</v>
      </c>
      <c r="H127" s="108">
        <f t="shared" ca="1" si="13"/>
        <v>35.735538674797986</v>
      </c>
    </row>
    <row r="128" spans="1:8" x14ac:dyDescent="0.3">
      <c r="A128" s="135"/>
      <c r="B128" s="135"/>
      <c r="C128" s="135"/>
      <c r="D128" s="136"/>
      <c r="E128" s="136"/>
      <c r="F128" s="136"/>
      <c r="G128" s="136"/>
      <c r="H128" s="136"/>
    </row>
    <row r="129" spans="1:8" x14ac:dyDescent="0.3">
      <c r="A129" s="18" t="str">
        <f>Dist4</f>
        <v>United</v>
      </c>
    </row>
    <row r="131" spans="1:8" x14ac:dyDescent="0.3">
      <c r="A131" s="17" t="str">
        <f t="shared" ref="A131:A141" si="14">A116</f>
        <v>Transmission</v>
      </c>
      <c r="B131" s="17" t="s">
        <v>36</v>
      </c>
      <c r="C131" s="17" t="s">
        <v>11</v>
      </c>
      <c r="D131" s="108">
        <f>IF(LEFT($A$129,5)="blank",0,D54/'Input Global'!D$21)</f>
        <v>0</v>
      </c>
      <c r="E131" s="108">
        <f>IF(LEFT($A$129,5)="blank",0,E54/'Input Global'!E$21)</f>
        <v>1.6561700596466677</v>
      </c>
      <c r="F131" s="108">
        <f>IF(LEFT($A$129,5)="blank",0,F54/'Input Global'!F$21)</f>
        <v>1.6910451791719194</v>
      </c>
      <c r="G131" s="108">
        <f>IF(LEFT($A$129,5)="blank",0,G54/'Input Global'!G$21)</f>
        <v>1.7266546882333278</v>
      </c>
      <c r="H131" s="108">
        <f>IF(LEFT($A$129,5)="blank",0,H54/'Input Global'!H$21)</f>
        <v>1.7630140513797794</v>
      </c>
    </row>
    <row r="132" spans="1:8" x14ac:dyDescent="0.3">
      <c r="A132" s="17" t="str">
        <f t="shared" si="14"/>
        <v>Distribution</v>
      </c>
      <c r="B132" s="17" t="s">
        <v>36</v>
      </c>
      <c r="C132" s="17" t="s">
        <v>11</v>
      </c>
      <c r="D132" s="108">
        <f>IF(LEFT($A$129,5)="blank",0,D55/'Input Global'!D$21)</f>
        <v>0</v>
      </c>
      <c r="E132" s="108">
        <f>IF(LEFT($A$129,5)="blank",0,E55/'Input Global'!E$21)</f>
        <v>7.8178721046633237</v>
      </c>
      <c r="F132" s="108">
        <f>IF(LEFT($A$129,5)="blank",0,F55/'Input Global'!F$21)</f>
        <v>8.7512934004952605</v>
      </c>
      <c r="G132" s="108">
        <f>IF(LEFT($A$129,5)="blank",0,G55/'Input Global'!G$21)</f>
        <v>10.104781774798054</v>
      </c>
      <c r="H132" s="108">
        <f>IF(LEFT($A$129,5)="blank",0,H55/'Input Global'!H$21)</f>
        <v>11.630326020023276</v>
      </c>
    </row>
    <row r="134" spans="1:8" x14ac:dyDescent="0.3">
      <c r="A134" s="17" t="str">
        <f t="shared" si="14"/>
        <v>Retail and Wholesale</v>
      </c>
      <c r="B134" s="17" t="s">
        <v>36</v>
      </c>
      <c r="C134" s="17" t="s">
        <v>11</v>
      </c>
      <c r="D134" s="108">
        <f ca="1">IF(LEFT($A$129,5)="blank",0,D57/'Input Global'!D$21)</f>
        <v>7.9244250313030822</v>
      </c>
      <c r="E134" s="108">
        <f ca="1">IF(LEFT($A$129,5)="blank",0,E57/'Input Global'!E$21)</f>
        <v>16.66593869433494</v>
      </c>
      <c r="F134" s="108">
        <f ca="1">IF(LEFT($A$129,5)="blank",0,F57/'Input Global'!F$21)</f>
        <v>16.524894287038475</v>
      </c>
      <c r="G134" s="108">
        <f ca="1">IF(LEFT($A$129,5)="blank",0,G57/'Input Global'!G$21)</f>
        <v>16.222776558718014</v>
      </c>
      <c r="H134" s="108">
        <f ca="1">IF(LEFT($A$129,5)="blank",0,H57/'Input Global'!H$21)</f>
        <v>17.289787353215715</v>
      </c>
    </row>
    <row r="135" spans="1:8" x14ac:dyDescent="0.3">
      <c r="A135" s="17" t="str">
        <f t="shared" si="14"/>
        <v>Green Schemes</v>
      </c>
      <c r="C135" s="17" t="s">
        <v>11</v>
      </c>
      <c r="D135" s="103"/>
      <c r="E135" s="103"/>
      <c r="F135" s="103"/>
      <c r="G135" s="103"/>
      <c r="H135" s="103"/>
    </row>
    <row r="136" spans="1:8" x14ac:dyDescent="0.3">
      <c r="A136" s="19" t="str">
        <f t="shared" si="14"/>
        <v>Feed-in Tariffs</v>
      </c>
      <c r="B136" s="17" t="s">
        <v>36</v>
      </c>
      <c r="C136" s="17" t="s">
        <v>11</v>
      </c>
      <c r="D136" s="108">
        <f>IF(LEFT($A$129,5)="blank",0,D59/'Input Global'!D$21)</f>
        <v>0</v>
      </c>
      <c r="E136" s="108">
        <f>IF(LEFT($A$129,5)="blank",0,E59/'Input Global'!E$21)</f>
        <v>0.15430765050398682</v>
      </c>
      <c r="F136" s="108">
        <f>IF(LEFT($A$129,5)="blank",0,F59/'Input Global'!F$21)</f>
        <v>0.161765663221349</v>
      </c>
      <c r="G136" s="108">
        <f>IF(LEFT($A$129,5)="blank",0,G59/'Input Global'!G$21)</f>
        <v>0.17015864597230129</v>
      </c>
      <c r="H136" s="108">
        <f>IF(LEFT($A$129,5)="blank",0,H59/'Input Global'!H$21)</f>
        <v>0.17790955718780202</v>
      </c>
    </row>
    <row r="137" spans="1:8" x14ac:dyDescent="0.3">
      <c r="A137" s="19" t="str">
        <f t="shared" si="14"/>
        <v>Carbon costs</v>
      </c>
      <c r="B137" s="17" t="s">
        <v>36</v>
      </c>
      <c r="C137" s="17" t="s">
        <v>11</v>
      </c>
      <c r="D137" s="108">
        <f ca="1">IF(LEFT($A$129,5)="blank",0,D60/'Input Global'!D$21)</f>
        <v>0</v>
      </c>
      <c r="E137" s="108">
        <f ca="1">IF(LEFT($A$129,5)="blank",0,E60/'Input Global'!E$21)</f>
        <v>0</v>
      </c>
      <c r="F137" s="108">
        <f ca="1">IF(LEFT($A$129,5)="blank",0,F60/'Input Global'!F$21)</f>
        <v>2.2400000000000002</v>
      </c>
      <c r="G137" s="108">
        <f ca="1">IF(LEFT($A$129,5)="blank",0,G60/'Input Global'!G$21)</f>
        <v>2.5097915416869019</v>
      </c>
      <c r="H137" s="108">
        <f ca="1">IF(LEFT($A$129,5)="blank",0,H60/'Input Global'!H$21)</f>
        <v>2.4531280630206824</v>
      </c>
    </row>
    <row r="138" spans="1:8" x14ac:dyDescent="0.3">
      <c r="A138" s="19" t="str">
        <f t="shared" si="14"/>
        <v>Large Scale Renewable Energy Target</v>
      </c>
      <c r="B138" s="17" t="s">
        <v>36</v>
      </c>
      <c r="C138" s="17" t="s">
        <v>11</v>
      </c>
      <c r="D138" s="108">
        <f ca="1">IF(LEFT($A$129,5)="blank",0,D61/'Input Global'!D$21)</f>
        <v>0.25473754178777863</v>
      </c>
      <c r="E138" s="108">
        <f ca="1">IF(LEFT($A$129,5)="blank",0,E61/'Input Global'!E$21)</f>
        <v>0.44267417909205159</v>
      </c>
      <c r="F138" s="108">
        <f ca="1">IF(LEFT($A$129,5)="blank",0,F61/'Input Global'!F$21)</f>
        <v>0.6628193665535661</v>
      </c>
      <c r="G138" s="108">
        <f ca="1">IF(LEFT($A$129,5)="blank",0,G61/'Input Global'!G$21)</f>
        <v>0.71024842650382625</v>
      </c>
      <c r="H138" s="108">
        <f ca="1">IF(LEFT($A$129,5)="blank",0,H61/'Input Global'!H$21)</f>
        <v>0.75212223266646072</v>
      </c>
    </row>
    <row r="139" spans="1:8" x14ac:dyDescent="0.3">
      <c r="A139" s="19" t="str">
        <f t="shared" si="14"/>
        <v>Small Scale Renewable Energy Scheme</v>
      </c>
      <c r="B139" s="17" t="s">
        <v>36</v>
      </c>
      <c r="C139" s="17" t="s">
        <v>11</v>
      </c>
      <c r="D139" s="108">
        <f ca="1">IF(LEFT($A$129,5)="blank",0,D62/'Input Global'!D$21)</f>
        <v>0.43999227350852893</v>
      </c>
      <c r="E139" s="108">
        <f ca="1">IF(LEFT($A$129,5)="blank",0,E62/'Input Global'!E$21)</f>
        <v>0.52897443353026441</v>
      </c>
      <c r="F139" s="108">
        <f ca="1">IF(LEFT($A$129,5)="blank",0,F62/'Input Global'!F$21)</f>
        <v>0.2881821035194338</v>
      </c>
      <c r="G139" s="108">
        <f ca="1">IF(LEFT($A$129,5)="blank",0,G62/'Input Global'!G$21)</f>
        <v>0.12683626123551256</v>
      </c>
      <c r="H139" s="108">
        <f ca="1">IF(LEFT($A$129,5)="blank",0,H62/'Input Global'!H$21)</f>
        <v>0.11021384523313771</v>
      </c>
    </row>
    <row r="140" spans="1:8" x14ac:dyDescent="0.3">
      <c r="A140" s="19" t="str">
        <f t="shared" si="14"/>
        <v>Energy Saver Incentive</v>
      </c>
      <c r="B140" s="17" t="s">
        <v>36</v>
      </c>
      <c r="C140" s="17" t="s">
        <v>11</v>
      </c>
      <c r="D140" s="108">
        <f ca="1">IF(LEFT($A$129,5)="blank",0,D63/'Input Global'!D$21)</f>
        <v>0.39</v>
      </c>
      <c r="E140" s="108">
        <f ca="1">IF(LEFT($A$129,5)="blank",0,E63/'Input Global'!E$21)</f>
        <v>0.39</v>
      </c>
      <c r="F140" s="108">
        <f ca="1">IF(LEFT($A$129,5)="blank",0,F63/'Input Global'!F$21)</f>
        <v>0.38</v>
      </c>
      <c r="G140" s="108">
        <f ca="1">IF(LEFT($A$129,5)="blank",0,G63/'Input Global'!G$21)</f>
        <v>0.38</v>
      </c>
      <c r="H140" s="108">
        <f ca="1">IF(LEFT($A$129,5)="blank",0,H63/'Input Global'!H$21)</f>
        <v>0.38</v>
      </c>
    </row>
    <row r="141" spans="1:8" x14ac:dyDescent="0.3">
      <c r="A141" s="19" t="str">
        <f t="shared" si="14"/>
        <v>blank</v>
      </c>
      <c r="B141" s="17" t="s">
        <v>36</v>
      </c>
      <c r="C141" s="17" t="s">
        <v>11</v>
      </c>
      <c r="D141" s="108">
        <f ca="1">IF(LEFT($A$129,5)="blank",0,D64/'Input Global'!D$21)</f>
        <v>0</v>
      </c>
      <c r="E141" s="108">
        <f ca="1">IF(LEFT($A$129,5)="blank",0,E64/'Input Global'!E$21)</f>
        <v>0</v>
      </c>
      <c r="F141" s="108">
        <f ca="1">IF(LEFT($A$129,5)="blank",0,F64/'Input Global'!F$21)</f>
        <v>0</v>
      </c>
      <c r="G141" s="108">
        <f ca="1">IF(LEFT($A$129,5)="blank",0,G64/'Input Global'!G$21)</f>
        <v>0</v>
      </c>
      <c r="H141" s="108">
        <f ca="1">IF(LEFT($A$129,5)="blank",0,H64/'Input Global'!H$21)</f>
        <v>0</v>
      </c>
    </row>
    <row r="142" spans="1:8" x14ac:dyDescent="0.3">
      <c r="A142" s="20" t="s">
        <v>53</v>
      </c>
      <c r="B142" s="20" t="s">
        <v>36</v>
      </c>
      <c r="C142" s="20" t="s">
        <v>11</v>
      </c>
      <c r="D142" s="108">
        <f ca="1">SUM(D130:D141)</f>
        <v>9.0091548465993903</v>
      </c>
      <c r="E142" s="108">
        <f t="shared" ref="E142:H142" ca="1" si="15">SUM(E130:E141)</f>
        <v>27.655937121771238</v>
      </c>
      <c r="F142" s="108">
        <f t="shared" ca="1" si="15"/>
        <v>30.700000000000003</v>
      </c>
      <c r="G142" s="108">
        <f t="shared" ca="1" si="15"/>
        <v>31.95124789714794</v>
      </c>
      <c r="H142" s="108">
        <f t="shared" ca="1" si="15"/>
        <v>34.556501122726857</v>
      </c>
    </row>
    <row r="144" spans="1:8" x14ac:dyDescent="0.3">
      <c r="A144" s="18" t="str">
        <f>Dist5</f>
        <v>Jemena</v>
      </c>
    </row>
    <row r="145" spans="1:8" x14ac:dyDescent="0.3">
      <c r="A145" s="17">
        <f>A130</f>
        <v>0</v>
      </c>
      <c r="B145" s="17" t="s">
        <v>36</v>
      </c>
      <c r="C145" s="17" t="s">
        <v>11</v>
      </c>
    </row>
    <row r="146" spans="1:8" x14ac:dyDescent="0.3">
      <c r="A146" s="17" t="str">
        <f t="shared" ref="A146:A156" si="16">A131</f>
        <v>Transmission</v>
      </c>
      <c r="B146" s="17" t="s">
        <v>36</v>
      </c>
      <c r="C146" s="17" t="s">
        <v>11</v>
      </c>
      <c r="D146" s="108">
        <f>IF(LEFT($A$144,5)="blank",0,D69/'Input Global'!D$22)</f>
        <v>0</v>
      </c>
      <c r="E146" s="108">
        <f>IF(LEFT($A$144,5)="blank",0,E69/'Input Global'!E$22)</f>
        <v>1.0040285135037108</v>
      </c>
      <c r="F146" s="108">
        <f>IF(LEFT($A$144,5)="blank",0,F69/'Input Global'!F$22)</f>
        <v>1.0268033134482082</v>
      </c>
      <c r="G146" s="108">
        <f>IF(LEFT($A$144,5)="blank",0,G69/'Input Global'!G$22)</f>
        <v>1.0503894710336108</v>
      </c>
      <c r="H146" s="108">
        <f>IF(LEFT($A$144,5)="blank",0,H69/'Input Global'!H$22)</f>
        <v>1.074081486041951</v>
      </c>
    </row>
    <row r="147" spans="1:8" x14ac:dyDescent="0.3">
      <c r="A147" s="17" t="str">
        <f t="shared" si="16"/>
        <v>Distribution</v>
      </c>
      <c r="B147" s="17" t="s">
        <v>36</v>
      </c>
      <c r="C147" s="17" t="s">
        <v>11</v>
      </c>
      <c r="D147" s="108">
        <f>IF(LEFT($A$144,5)="blank",0,D70/'Input Global'!D$22)</f>
        <v>0</v>
      </c>
      <c r="E147" s="108">
        <f>IF(LEFT($A$144,5)="blank",0,E70/'Input Global'!E$22)</f>
        <v>9.8414227231675628</v>
      </c>
      <c r="F147" s="108">
        <f>IF(LEFT($A$144,5)="blank",0,F70/'Input Global'!F$22)</f>
        <v>10.825812367061719</v>
      </c>
      <c r="G147" s="108">
        <f>IF(LEFT($A$144,5)="blank",0,G70/'Input Global'!G$22)</f>
        <v>11.712147400082355</v>
      </c>
      <c r="H147" s="108">
        <f>IF(LEFT($A$144,5)="blank",0,H70/'Input Global'!H$22)</f>
        <v>12.348140869279707</v>
      </c>
    </row>
    <row r="148" spans="1:8" x14ac:dyDescent="0.3">
      <c r="A148" s="17">
        <f t="shared" si="16"/>
        <v>0</v>
      </c>
      <c r="B148" s="17" t="s">
        <v>36</v>
      </c>
      <c r="C148" s="17" t="s">
        <v>11</v>
      </c>
    </row>
    <row r="149" spans="1:8" x14ac:dyDescent="0.3">
      <c r="A149" s="17" t="str">
        <f t="shared" si="16"/>
        <v>Retail and Wholesale</v>
      </c>
      <c r="B149" s="17" t="s">
        <v>36</v>
      </c>
      <c r="C149" s="17" t="s">
        <v>11</v>
      </c>
      <c r="D149" s="108">
        <f ca="1">IF(LEFT($A$144,5)="blank",0,D72/'Input Global'!D$22)</f>
        <v>7.8082776975079664</v>
      </c>
      <c r="E149" s="108">
        <f ca="1">IF(LEFT($A$144,5)="blank",0,E72/'Input Global'!E$22)</f>
        <v>16.878563098428042</v>
      </c>
      <c r="F149" s="108">
        <f ca="1">IF(LEFT($A$144,5)="blank",0,F72/'Input Global'!F$22)</f>
        <v>17.226157849417046</v>
      </c>
      <c r="G149" s="108">
        <f ca="1">IF(LEFT($A$144,5)="blank",0,G72/'Input Global'!G$22)</f>
        <v>16.603909434348424</v>
      </c>
      <c r="H149" s="108">
        <f ca="1">IF(LEFT($A$144,5)="blank",0,H72/'Input Global'!H$22)</f>
        <v>17.502791990141635</v>
      </c>
    </row>
    <row r="150" spans="1:8" x14ac:dyDescent="0.3">
      <c r="A150" s="17" t="str">
        <f t="shared" si="16"/>
        <v>Green Schemes</v>
      </c>
      <c r="C150" s="17" t="s">
        <v>11</v>
      </c>
      <c r="D150" s="103"/>
      <c r="E150" s="103"/>
      <c r="F150" s="103"/>
      <c r="G150" s="103"/>
      <c r="H150" s="103"/>
    </row>
    <row r="151" spans="1:8" x14ac:dyDescent="0.3">
      <c r="A151" s="19" t="str">
        <f t="shared" si="16"/>
        <v>Feed-in Tariffs</v>
      </c>
      <c r="B151" s="17" t="s">
        <v>36</v>
      </c>
      <c r="C151" s="17" t="s">
        <v>11</v>
      </c>
      <c r="D151" s="108">
        <f>IF(LEFT($A$144,5)="blank",0,D74/'Input Global'!D$22)</f>
        <v>0</v>
      </c>
      <c r="E151" s="108">
        <f>IF(LEFT($A$144,5)="blank",0,E74/'Input Global'!E$22)</f>
        <v>4.9000000000000002E-2</v>
      </c>
      <c r="F151" s="108">
        <f>IF(LEFT($A$144,5)="blank",0,F74/'Input Global'!F$22)</f>
        <v>5.0224999999999999E-2</v>
      </c>
      <c r="G151" s="108">
        <f>IF(LEFT($A$144,5)="blank",0,G74/'Input Global'!G$22)</f>
        <v>5.1480624999999988E-2</v>
      </c>
      <c r="H151" s="108">
        <f>IF(LEFT($A$144,5)="blank",0,H74/'Input Global'!H$22)</f>
        <v>5.276764062499998E-2</v>
      </c>
    </row>
    <row r="152" spans="1:8" x14ac:dyDescent="0.3">
      <c r="A152" s="19" t="str">
        <f t="shared" si="16"/>
        <v>Carbon costs</v>
      </c>
      <c r="B152" s="17" t="s">
        <v>36</v>
      </c>
      <c r="C152" s="17" t="s">
        <v>11</v>
      </c>
      <c r="D152" s="108">
        <f ca="1">IF(LEFT($A$144,5)="blank",0,D75/'Input Global'!D$22)</f>
        <v>0</v>
      </c>
      <c r="E152" s="108">
        <f ca="1">IF(LEFT($A$144,5)="blank",0,E75/'Input Global'!E$22)</f>
        <v>0</v>
      </c>
      <c r="F152" s="108">
        <f ca="1">IF(LEFT($A$144,5)="blank",0,F75/'Input Global'!F$22)</f>
        <v>2.2400000000000002</v>
      </c>
      <c r="G152" s="108">
        <f ca="1">IF(LEFT($A$144,5)="blank",0,G75/'Input Global'!G$22)</f>
        <v>2.7425616954920162</v>
      </c>
      <c r="H152" s="108">
        <f ca="1">IF(LEFT($A$144,5)="blank",0,H75/'Input Global'!H$22)</f>
        <v>2.9078090526541835</v>
      </c>
    </row>
    <row r="153" spans="1:8" x14ac:dyDescent="0.3">
      <c r="A153" s="19" t="str">
        <f t="shared" si="16"/>
        <v>Large Scale Renewable Energy Target</v>
      </c>
      <c r="B153" s="17" t="s">
        <v>36</v>
      </c>
      <c r="C153" s="17" t="s">
        <v>11</v>
      </c>
      <c r="D153" s="108">
        <f ca="1">IF(LEFT($A$144,5)="blank",0,D76/'Input Global'!D$22)</f>
        <v>0.25473754178777863</v>
      </c>
      <c r="E153" s="108">
        <f ca="1">IF(LEFT($A$144,5)="blank",0,E76/'Input Global'!E$22)</f>
        <v>0.44267417909205159</v>
      </c>
      <c r="F153" s="108">
        <f ca="1">IF(LEFT($A$144,5)="blank",0,F76/'Input Global'!F$22)</f>
        <v>0.6628193665535661</v>
      </c>
      <c r="G153" s="108">
        <f ca="1">IF(LEFT($A$144,5)="blank",0,G76/'Input Global'!G$22)</f>
        <v>0.71024842650382625</v>
      </c>
      <c r="H153" s="108">
        <f ca="1">IF(LEFT($A$144,5)="blank",0,H76/'Input Global'!H$22)</f>
        <v>0.75212223266646072</v>
      </c>
    </row>
    <row r="154" spans="1:8" x14ac:dyDescent="0.3">
      <c r="A154" s="19" t="str">
        <f t="shared" si="16"/>
        <v>Small Scale Renewable Energy Scheme</v>
      </c>
      <c r="B154" s="17" t="s">
        <v>36</v>
      </c>
      <c r="C154" s="17" t="s">
        <v>11</v>
      </c>
      <c r="D154" s="108">
        <f ca="1">IF(LEFT($A$144,5)="blank",0,D77/'Input Global'!D$22)</f>
        <v>0.43999227350852893</v>
      </c>
      <c r="E154" s="108">
        <f ca="1">IF(LEFT($A$144,5)="blank",0,E77/'Input Global'!E$22)</f>
        <v>0.52897443353026441</v>
      </c>
      <c r="F154" s="108">
        <f ca="1">IF(LEFT($A$144,5)="blank",0,F77/'Input Global'!F$22)</f>
        <v>0.2881821035194338</v>
      </c>
      <c r="G154" s="108">
        <f ca="1">IF(LEFT($A$144,5)="blank",0,G77/'Input Global'!G$22)</f>
        <v>0.12683626123551256</v>
      </c>
      <c r="H154" s="108">
        <f ca="1">IF(LEFT($A$144,5)="blank",0,H77/'Input Global'!H$22)</f>
        <v>0.11021384523313771</v>
      </c>
    </row>
    <row r="155" spans="1:8" x14ac:dyDescent="0.3">
      <c r="A155" s="19" t="str">
        <f t="shared" si="16"/>
        <v>Energy Saver Incentive</v>
      </c>
      <c r="B155" s="17" t="s">
        <v>36</v>
      </c>
      <c r="C155" s="17" t="s">
        <v>11</v>
      </c>
      <c r="D155" s="108">
        <f ca="1">IF(LEFT($A$144,5)="blank",0,D78/'Input Global'!D$22)</f>
        <v>0.39</v>
      </c>
      <c r="E155" s="108">
        <f ca="1">IF(LEFT($A$144,5)="blank",0,E78/'Input Global'!E$22)</f>
        <v>0.39</v>
      </c>
      <c r="F155" s="108">
        <f ca="1">IF(LEFT($A$144,5)="blank",0,F78/'Input Global'!F$22)</f>
        <v>0.38</v>
      </c>
      <c r="G155" s="108">
        <f ca="1">IF(LEFT($A$144,5)="blank",0,G78/'Input Global'!G$22)</f>
        <v>0.38</v>
      </c>
      <c r="H155" s="108">
        <f ca="1">IF(LEFT($A$144,5)="blank",0,H78/'Input Global'!H$22)</f>
        <v>0.38</v>
      </c>
    </row>
    <row r="156" spans="1:8" x14ac:dyDescent="0.3">
      <c r="A156" s="19" t="str">
        <f t="shared" si="16"/>
        <v>blank</v>
      </c>
      <c r="B156" s="17" t="s">
        <v>36</v>
      </c>
      <c r="C156" s="17" t="s">
        <v>11</v>
      </c>
      <c r="D156" s="108">
        <f ca="1">IF(LEFT($A$144,5)="blank",0,D79/'Input Global'!D$22)</f>
        <v>0</v>
      </c>
      <c r="E156" s="108">
        <f ca="1">IF(LEFT($A$144,5)="blank",0,E79/'Input Global'!E$22)</f>
        <v>0</v>
      </c>
      <c r="F156" s="108">
        <f ca="1">IF(LEFT($A$144,5)="blank",0,F79/'Input Global'!F$22)</f>
        <v>0</v>
      </c>
      <c r="G156" s="108">
        <f ca="1">IF(LEFT($A$144,5)="blank",0,G79/'Input Global'!G$22)</f>
        <v>0</v>
      </c>
      <c r="H156" s="108">
        <f ca="1">IF(LEFT($A$144,5)="blank",0,H79/'Input Global'!H$22)</f>
        <v>0</v>
      </c>
    </row>
    <row r="157" spans="1:8" x14ac:dyDescent="0.3">
      <c r="A157" s="20" t="s">
        <v>53</v>
      </c>
      <c r="B157" s="20" t="s">
        <v>36</v>
      </c>
      <c r="C157" s="20" t="s">
        <v>11</v>
      </c>
      <c r="D157" s="108">
        <f ca="1">SUM(D145:D156)</f>
        <v>8.8930075128042745</v>
      </c>
      <c r="E157" s="108">
        <f t="shared" ref="E157:H157" ca="1" si="17">SUM(E145:E156)</f>
        <v>29.134662947721633</v>
      </c>
      <c r="F157" s="108">
        <f t="shared" ca="1" si="17"/>
        <v>32.699999999999974</v>
      </c>
      <c r="G157" s="108">
        <f t="shared" ca="1" si="17"/>
        <v>33.377573313695741</v>
      </c>
      <c r="H157" s="108">
        <f t="shared" ca="1" si="17"/>
        <v>35.127927116642077</v>
      </c>
    </row>
    <row r="159" spans="1:8" ht="18.75" x14ac:dyDescent="0.3">
      <c r="A159" s="16" t="s">
        <v>66</v>
      </c>
    </row>
    <row r="160" spans="1:8" x14ac:dyDescent="0.3">
      <c r="A160" s="17" t="str">
        <f>Dist1</f>
        <v>Citipower</v>
      </c>
      <c r="B160" s="17" t="s">
        <v>36</v>
      </c>
      <c r="C160" s="17" t="s">
        <v>22</v>
      </c>
      <c r="D160" s="109">
        <f>'Input Global'!D25/'Input Global'!D$30</f>
        <v>0.10272024643169531</v>
      </c>
      <c r="E160" s="109">
        <f>'Input Global'!E25/'Input Global'!E$30</f>
        <v>0.10247739049784825</v>
      </c>
      <c r="F160" s="109">
        <f>'Input Global'!F25/'Input Global'!F$30</f>
        <v>0.10188672972259502</v>
      </c>
      <c r="G160" s="109">
        <f>'Input Global'!G25/'Input Global'!G$30</f>
        <v>0.1012396121372746</v>
      </c>
      <c r="H160" s="109">
        <f>'Input Global'!H25/'Input Global'!H$30</f>
        <v>0.10090806788173845</v>
      </c>
    </row>
    <row r="161" spans="1:8" x14ac:dyDescent="0.3">
      <c r="A161" s="17" t="str">
        <f>Dist2</f>
        <v>Powercor</v>
      </c>
      <c r="B161" s="17" t="s">
        <v>36</v>
      </c>
      <c r="C161" s="17" t="s">
        <v>22</v>
      </c>
      <c r="D161" s="109">
        <f>'Input Global'!D26/'Input Global'!D$30</f>
        <v>0.26528704439176137</v>
      </c>
      <c r="E161" s="109">
        <f>'Input Global'!E26/'Input Global'!E$30</f>
        <v>0.26688783896508689</v>
      </c>
      <c r="F161" s="109">
        <f>'Input Global'!F26/'Input Global'!F$30</f>
        <v>0.26867554005988326</v>
      </c>
      <c r="G161" s="109">
        <f>'Input Global'!G26/'Input Global'!G$30</f>
        <v>0.27068858433367066</v>
      </c>
      <c r="H161" s="109">
        <f>'Input Global'!H26/'Input Global'!H$30</f>
        <v>0.27257402811011694</v>
      </c>
    </row>
    <row r="162" spans="1:8" x14ac:dyDescent="0.3">
      <c r="A162" s="17" t="str">
        <f>Dist3</f>
        <v>SP Ausnet</v>
      </c>
      <c r="B162" s="17" t="s">
        <v>36</v>
      </c>
      <c r="C162" s="17" t="s">
        <v>22</v>
      </c>
      <c r="D162" s="109">
        <f>'Input Global'!D27/'Input Global'!D$30</f>
        <v>0.21743277923006957</v>
      </c>
      <c r="E162" s="109">
        <f>'Input Global'!E27/'Input Global'!E$30</f>
        <v>0.21875450325303131</v>
      </c>
      <c r="F162" s="109">
        <f>'Input Global'!F27/'Input Global'!F$30</f>
        <v>0.22016442193759983</v>
      </c>
      <c r="G162" s="109">
        <f>'Input Global'!G27/'Input Global'!G$30</f>
        <v>0.22133700993839256</v>
      </c>
      <c r="H162" s="109">
        <f>'Input Global'!H27/'Input Global'!H$30</f>
        <v>0.22232137015211889</v>
      </c>
    </row>
    <row r="163" spans="1:8" x14ac:dyDescent="0.3">
      <c r="A163" s="17" t="str">
        <f>Dist4</f>
        <v>United</v>
      </c>
      <c r="B163" s="17" t="s">
        <v>36</v>
      </c>
      <c r="C163" s="17" t="s">
        <v>22</v>
      </c>
      <c r="D163" s="109">
        <f>'Input Global'!D28/'Input Global'!D$30</f>
        <v>0.27803821300861098</v>
      </c>
      <c r="E163" s="109">
        <f>'Input Global'!E28/'Input Global'!E$30</f>
        <v>0.27579462361978679</v>
      </c>
      <c r="F163" s="109">
        <f>'Input Global'!F28/'Input Global'!F$30</f>
        <v>0.27366096205609564</v>
      </c>
      <c r="G163" s="109">
        <f>'Input Global'!G28/'Input Global'!G$30</f>
        <v>0.27165615253712266</v>
      </c>
      <c r="H163" s="109">
        <f>'Input Global'!H28/'Input Global'!H$30</f>
        <v>0.26967117275357122</v>
      </c>
    </row>
    <row r="164" spans="1:8" x14ac:dyDescent="0.3">
      <c r="A164" s="17" t="str">
        <f>Dist5</f>
        <v>Jemena</v>
      </c>
      <c r="B164" s="17" t="s">
        <v>36</v>
      </c>
      <c r="C164" s="17" t="s">
        <v>22</v>
      </c>
      <c r="D164" s="109">
        <f>'Input Global'!D29/'Input Global'!D$30</f>
        <v>0.13652171693786272</v>
      </c>
      <c r="E164" s="109">
        <f>'Input Global'!E29/'Input Global'!E$30</f>
        <v>0.13608564366424677</v>
      </c>
      <c r="F164" s="109">
        <f>'Input Global'!F29/'Input Global'!F$30</f>
        <v>0.1356123462238262</v>
      </c>
      <c r="G164" s="109">
        <f>'Input Global'!G29/'Input Global'!G$30</f>
        <v>0.13507864105353951</v>
      </c>
      <c r="H164" s="109">
        <f>'Input Global'!H29/'Input Global'!H$30</f>
        <v>0.13452536110245453</v>
      </c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0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164"/>
  <sheetViews>
    <sheetView zoomScaleNormal="100" workbookViewId="0">
      <pane xSplit="3" ySplit="4" topLeftCell="D5" activePane="bottomRight" state="frozenSplit"/>
      <selection activeCell="K17" sqref="K17"/>
      <selection pane="topRight" activeCell="K17" sqref="K17"/>
      <selection pane="bottomLeft" activeCell="K17" sqref="K17"/>
      <selection pane="bottomRight" activeCell="J11" sqref="J11"/>
    </sheetView>
  </sheetViews>
  <sheetFormatPr defaultColWidth="9.140625" defaultRowHeight="16.5" x14ac:dyDescent="0.3"/>
  <cols>
    <col min="1" max="1" width="25.85546875" style="17" customWidth="1"/>
    <col min="2" max="2" width="14.140625" style="17" customWidth="1"/>
    <col min="3" max="3" width="9.140625" style="17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" style="17" bestFit="1" customWidth="1"/>
    <col min="10" max="14" width="9.140625" style="17"/>
    <col min="15" max="15" width="10.5703125" style="17" bestFit="1" customWidth="1"/>
    <col min="16" max="16384" width="9.140625" style="17"/>
  </cols>
  <sheetData>
    <row r="1" spans="1:16" s="22" customFormat="1" ht="23.25" x14ac:dyDescent="0.35">
      <c r="A1" s="22" t="s">
        <v>1</v>
      </c>
      <c r="B1" s="23" t="str">
        <f ca="1">'Input Global'!B1</f>
        <v>2012 Pricing Trends - model - Vic</v>
      </c>
      <c r="C1" s="24"/>
      <c r="D1" s="99"/>
      <c r="E1" s="99"/>
      <c r="F1" s="99"/>
      <c r="G1" s="98"/>
      <c r="H1" s="98"/>
      <c r="I1" s="79" t="s">
        <v>30</v>
      </c>
    </row>
    <row r="2" spans="1:16" s="22" customFormat="1" ht="19.5" thickBot="1" x14ac:dyDescent="0.35">
      <c r="B2" s="25" t="str">
        <f ca="1">RIGHT(CELL("filename",B2),LEN(CELL("filename",B2))-SEARCH("]",CELL("filename",B2)))</f>
        <v>Calc (LRMC Planning case)</v>
      </c>
      <c r="C2" s="26"/>
      <c r="D2" s="100"/>
      <c r="E2" s="100"/>
      <c r="F2" s="100"/>
      <c r="G2" s="98"/>
      <c r="H2" s="98"/>
      <c r="I2" s="85" t="s">
        <v>24</v>
      </c>
    </row>
    <row r="3" spans="1:16" s="22" customFormat="1" ht="17.25" thickBot="1" x14ac:dyDescent="0.35">
      <c r="D3" s="98"/>
      <c r="E3" s="98"/>
      <c r="F3" s="98"/>
      <c r="G3" s="98"/>
      <c r="H3" s="98"/>
      <c r="I3" s="86" t="s">
        <v>31</v>
      </c>
    </row>
    <row r="4" spans="1:16" s="22" customFormat="1" ht="15.75" x14ac:dyDescent="0.3">
      <c r="B4" s="27"/>
      <c r="C4" s="28" t="s">
        <v>8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6" t="s">
        <v>37</v>
      </c>
      <c r="B6" s="21" t="s">
        <v>41</v>
      </c>
    </row>
    <row r="7" spans="1:16" x14ac:dyDescent="0.3">
      <c r="A7" s="18" t="str">
        <f>Dist1</f>
        <v>Citipower</v>
      </c>
      <c r="D7" s="103"/>
      <c r="E7" s="103"/>
      <c r="F7" s="103"/>
      <c r="G7" s="103"/>
      <c r="H7" s="103"/>
    </row>
    <row r="8" spans="1:16" x14ac:dyDescent="0.3">
      <c r="A8" s="97"/>
      <c r="I8" s="97"/>
    </row>
    <row r="9" spans="1:16" x14ac:dyDescent="0.3">
      <c r="A9" s="97" t="str">
        <f>'Calc (Jurisdiction)'!A9</f>
        <v>Transmission</v>
      </c>
      <c r="C9" s="17" t="s">
        <v>55</v>
      </c>
      <c r="D9" s="108">
        <f>'Input General'!D8+(SUMPRODUCT('Input General'!D9:D12,'Input General'!D111:D114)*'Input Global'!D18)</f>
        <v>0</v>
      </c>
      <c r="E9" s="108">
        <f>'Input General'!E8+(SUMPRODUCT('Input General'!E9:E12,'Input General'!E111:E114)*'Input Global'!E18)</f>
        <v>4694.603625148784</v>
      </c>
      <c r="F9" s="108">
        <f>'Input General'!F8+(SUMPRODUCT('Input General'!F9:F12,'Input General'!F111:F114)*'Input Global'!F18)</f>
        <v>4697.2238014486502</v>
      </c>
      <c r="G9" s="108">
        <f>'Input General'!G8+(SUMPRODUCT('Input General'!G9:G12,'Input General'!G111:G114)*'Input Global'!G18)</f>
        <v>4685.8090720490854</v>
      </c>
      <c r="H9" s="108">
        <f>'Input General'!H8+(SUMPRODUCT('Input General'!H9:H12,'Input General'!H111:H114)*'Input Global'!H18)</f>
        <v>4700.0585595945067</v>
      </c>
    </row>
    <row r="10" spans="1:16" x14ac:dyDescent="0.3">
      <c r="A10" s="97" t="str">
        <f>'Calc (Jurisdiction)'!A10</f>
        <v>Distribution</v>
      </c>
      <c r="C10" s="17" t="s">
        <v>55</v>
      </c>
      <c r="D10" s="108">
        <f>'Input General'!D40+SUMPRODUCT('Input General'!D41:D44,'Input General'!D111:D114)*'Input Global'!D18+'Input General'!D71</f>
        <v>0</v>
      </c>
      <c r="E10" s="108">
        <f>'Input General'!E40+SUMPRODUCT('Input General'!E41:E44,'Input General'!E111:E114)*'Input Global'!E18+'Input General'!E71</f>
        <v>32059.456764202627</v>
      </c>
      <c r="F10" s="108">
        <f>'Input General'!F40+SUMPRODUCT('Input General'!F41:F44,'Input General'!F111:F114)*'Input Global'!F18+'Input General'!F71</f>
        <v>35159.618836465401</v>
      </c>
      <c r="G10" s="108">
        <f>'Input General'!G40+SUMPRODUCT('Input General'!G41:G44,'Input General'!G111:G114)*'Input Global'!G18+'Input General'!G71</f>
        <v>39043.377165682046</v>
      </c>
      <c r="H10" s="108">
        <f>'Input General'!H40+SUMPRODUCT('Input General'!H41:H44,'Input General'!H111:H114)*'Input Global'!H18+'Input General'!H71</f>
        <v>43196.416979369867</v>
      </c>
      <c r="P10" s="29"/>
    </row>
    <row r="11" spans="1:16" x14ac:dyDescent="0.3">
      <c r="A11" s="97"/>
      <c r="B11" s="97"/>
      <c r="C11" s="97"/>
      <c r="K11" s="30"/>
      <c r="M11" s="31"/>
      <c r="O11" s="29"/>
      <c r="P11" s="29"/>
    </row>
    <row r="12" spans="1:16" x14ac:dyDescent="0.3">
      <c r="A12" s="97" t="str">
        <f>'Calc (Jurisdiction)'!A12</f>
        <v>Retail and Wholesale</v>
      </c>
      <c r="C12" s="17" t="s">
        <v>55</v>
      </c>
      <c r="D12" s="108">
        <f ca="1">VLOOKUP($B$2,'Input General'!$A$223:$H$227,COLUMN(D12),FALSE)*'Input Global'!D33+VLOOKUP($B$2,dist1wholesale,COLUMN('Calc (Jurisdiction)'!D8),FALSE)*'Input Global'!D18</f>
        <v>30197.211168410773</v>
      </c>
      <c r="E12" s="108">
        <f ca="1">VLOOKUP($B$2,'Input General'!$A$223:$H$227,COLUMN(E12),FALSE)*'Input Global'!E33+VLOOKUP($B$2,dist1wholesale,COLUMN('Calc (Jurisdiction)'!E8),FALSE)*'Input Global'!E18</f>
        <v>84698.965685383737</v>
      </c>
      <c r="F12" s="108">
        <f ca="1">VLOOKUP($B$2,'Input General'!$A$223:$H$227,COLUMN(F12),FALSE)*'Input Global'!F33+VLOOKUP($B$2,dist1wholesale,COLUMN('Calc (Jurisdiction)'!F8),FALSE)*'Input Global'!F18</f>
        <v>77515.170863852618</v>
      </c>
      <c r="G12" s="108">
        <f ca="1">VLOOKUP($B$2,'Input General'!$A$223:$H$227,COLUMN(G12),FALSE)*'Input Global'!G33+VLOOKUP($B$2,dist1wholesale,COLUMN('Calc (Jurisdiction)'!G8),FALSE)*'Input Global'!G18</f>
        <v>79628.887776840318</v>
      </c>
      <c r="H12" s="108">
        <f ca="1">VLOOKUP($B$2,'Input General'!$A$223:$H$227,COLUMN(H12),FALSE)*'Input Global'!H33+VLOOKUP($B$2,dist1wholesale,COLUMN('Calc (Jurisdiction)'!H8),FALSE)*'Input Global'!H18</f>
        <v>81425.670922213671</v>
      </c>
      <c r="K12" s="30"/>
      <c r="M12" s="31"/>
      <c r="O12" s="29"/>
      <c r="P12" s="29"/>
    </row>
    <row r="13" spans="1:16" x14ac:dyDescent="0.3">
      <c r="A13" s="97" t="str">
        <f>'Calc (Jurisdiction)'!A13</f>
        <v>Green Schemes</v>
      </c>
      <c r="E13" s="103"/>
      <c r="F13" s="103"/>
      <c r="G13" s="103"/>
      <c r="H13" s="103"/>
      <c r="K13" s="30"/>
      <c r="M13" s="31"/>
      <c r="O13" s="29"/>
      <c r="P13" s="29"/>
    </row>
    <row r="14" spans="1:16" x14ac:dyDescent="0.3">
      <c r="A14" s="19" t="str">
        <f>'Calc (Jurisdiction)'!A14</f>
        <v>Feed-in Tariffs</v>
      </c>
      <c r="C14" s="17" t="s">
        <v>55</v>
      </c>
      <c r="D14" s="108">
        <f>'Input General'!D79+SUMPRODUCT('Input General'!D80:D83,'Input General'!D111:D114)*'Input Global'!D18</f>
        <v>0</v>
      </c>
      <c r="E14" s="108">
        <f>'Input General'!E79+SUMPRODUCT('Input General'!E80:E83,'Input General'!E111:E114)*'Input Global'!E18</f>
        <v>295.08339548072445</v>
      </c>
      <c r="F14" s="108">
        <f>'Input General'!F79+SUMPRODUCT('Input General'!F80:F83,'Input General'!F111:F114)*'Input Global'!F18</f>
        <v>299.07247235506139</v>
      </c>
      <c r="G14" s="108">
        <f>'Input General'!G79+SUMPRODUCT('Input General'!G80:G83,'Input General'!G111:G114)*'Input Global'!G18</f>
        <v>302.65024259572192</v>
      </c>
      <c r="H14" s="108">
        <f>'Input General'!H79+SUMPRODUCT('Input General'!H80:H83,'Input General'!H111:H114)*'Input Global'!H18</f>
        <v>307.22142213400855</v>
      </c>
      <c r="K14" s="30"/>
      <c r="M14" s="31"/>
      <c r="O14" s="29"/>
      <c r="P14" s="29"/>
    </row>
    <row r="15" spans="1:16" x14ac:dyDescent="0.3">
      <c r="A15" s="19" t="str">
        <f>'Calc (Jurisdiction)'!A15</f>
        <v>Carbon costs</v>
      </c>
      <c r="C15" s="17" t="s">
        <v>55</v>
      </c>
      <c r="D15" s="108">
        <f ca="1">VLOOKUP($B$2,'Input General'!$A$256:$H$260, COLUMN('Input General'!D256),FALSE)*'Input Global'!D$18</f>
        <v>0</v>
      </c>
      <c r="E15" s="108">
        <f ca="1">VLOOKUP($B$2,'Input General'!$A$256:$H$260, COLUMN('Input General'!E256),FALSE)*'Input Global'!E$18</f>
        <v>0</v>
      </c>
      <c r="F15" s="108">
        <f ca="1">VLOOKUP($B$2,'Input General'!$A$256:$H$260, COLUMN('Input General'!F256),FALSE)*'Input Global'!F$18</f>
        <v>10244.597444220091</v>
      </c>
      <c r="G15" s="108">
        <f ca="1">VLOOKUP($B$2,'Input General'!$A$256:$H$260, COLUMN('Input General'!G256),FALSE)*'Input Global'!G$18</f>
        <v>10472.230170848768</v>
      </c>
      <c r="H15" s="108">
        <f ca="1">VLOOKUP($B$2,'Input General'!$A$256:$H$260, COLUMN('Input General'!H256),FALSE)*'Input Global'!H$18</f>
        <v>10783.04504842614</v>
      </c>
      <c r="I15" s="32"/>
    </row>
    <row r="16" spans="1:16" x14ac:dyDescent="0.3">
      <c r="A16" s="19" t="str">
        <f>'Calc (Jurisdiction)'!A16</f>
        <v>Large Scale Renewable Energy Target</v>
      </c>
      <c r="C16" s="17" t="s">
        <v>55</v>
      </c>
      <c r="D16" s="108">
        <f ca="1">VLOOKUP($B$2,'Input General'!$A319:$H324,COLUMN(D16),FALSE)*'Input Global'!D18</f>
        <v>1207.2319490745772</v>
      </c>
      <c r="E16" s="108">
        <f ca="1">VLOOKUP($B$2,'Input General'!$A319:$H324,COLUMN(E16),FALSE)*'Input Global'!E18</f>
        <v>2070.6471001134769</v>
      </c>
      <c r="F16" s="108">
        <f ca="1">VLOOKUP($B$2,'Input General'!$A319:$H324,COLUMN(F16),FALSE)*'Input Global'!F18</f>
        <v>3031.3917806135009</v>
      </c>
      <c r="G16" s="108">
        <f ca="1">VLOOKUP($B$2,'Input General'!$A319:$H324,COLUMN(G16),FALSE)*'Input Global'!G18</f>
        <v>3165.2888405838162</v>
      </c>
      <c r="H16" s="108">
        <f ca="1">VLOOKUP($B$2,'Input General'!$A319:$H324,COLUMN(H16),FALSE)*'Input Global'!H18</f>
        <v>3286.0192301240681</v>
      </c>
      <c r="I16" s="32"/>
    </row>
    <row r="17" spans="1:14" x14ac:dyDescent="0.3">
      <c r="A17" s="19" t="str">
        <f>'Calc (Jurisdiction)'!A17</f>
        <v>Small Scale Renewable Energy Scheme</v>
      </c>
      <c r="C17" s="17" t="s">
        <v>55</v>
      </c>
      <c r="D17" s="108">
        <f ca="1">'Input General'!D139*'Input Global'!D18</f>
        <v>2085.1764769245315</v>
      </c>
      <c r="E17" s="108">
        <f ca="1">'Input General'!E139*'Input Global'!E18</f>
        <v>2474.3240707424361</v>
      </c>
      <c r="F17" s="108">
        <f ca="1">'Input General'!F139*'Input Global'!F18</f>
        <v>1317.9953755290896</v>
      </c>
      <c r="G17" s="108">
        <f ca="1">'Input General'!G139*'Input Global'!G18</f>
        <v>565.2577144681353</v>
      </c>
      <c r="H17" s="108">
        <f ca="1">'Input General'!H139*'Input Global'!H18</f>
        <v>481.5238788754375</v>
      </c>
      <c r="I17" s="32"/>
    </row>
    <row r="18" spans="1:14" x14ac:dyDescent="0.3">
      <c r="A18" s="19" t="str">
        <f>'Calc (Jurisdiction)'!A18</f>
        <v>Energy Saver Incentive</v>
      </c>
      <c r="C18" s="17" t="s">
        <v>55</v>
      </c>
      <c r="D18" s="108">
        <f ca="1">VLOOKUP($B$2,'Input General'!$A$159:$H$163,COLUMN(D18),FALSE)*'Input Global'!D$18</f>
        <v>1848.2570603249551</v>
      </c>
      <c r="E18" s="108">
        <f ca="1">VLOOKUP($B$2,'Input General'!$A$159:$H$163,COLUMN(E18),FALSE)*'Input Global'!E$18</f>
        <v>1824.2590311018121</v>
      </c>
      <c r="F18" s="108">
        <f ca="1">VLOOKUP($B$2,'Input General'!$A$159:$H$163,COLUMN(F18),FALSE)*'Input Global'!F$18</f>
        <v>1737.9227807159082</v>
      </c>
      <c r="G18" s="108">
        <f ca="1">VLOOKUP($B$2,'Input General'!$A$159:$H$163,COLUMN(G18),FALSE)*'Input Global'!G$18</f>
        <v>1693.5057010159676</v>
      </c>
      <c r="H18" s="108">
        <f ca="1">VLOOKUP($B$2,'Input General'!$A$159:$H$163,COLUMN(H18),FALSE)*'Input Global'!H$18</f>
        <v>1660.2185831154577</v>
      </c>
      <c r="I18" s="32"/>
    </row>
    <row r="19" spans="1:14" x14ac:dyDescent="0.3">
      <c r="A19" s="19" t="str">
        <f>'Calc (Jurisdiction)'!A19</f>
        <v>blank</v>
      </c>
      <c r="C19" s="17" t="s">
        <v>55</v>
      </c>
      <c r="D19" s="108">
        <f ca="1">VLOOKUP($B$2,'Input General'!$A$191:$H$195,COLUMN(D19),FALSE)*'Input Global'!D$18</f>
        <v>0</v>
      </c>
      <c r="E19" s="108">
        <f ca="1">VLOOKUP($B$2,'Input General'!$A$191:$H$195,COLUMN(E19),FALSE)*'Input Global'!E$18</f>
        <v>0</v>
      </c>
      <c r="F19" s="108">
        <f ca="1">VLOOKUP($B$2,'Input General'!$A$191:$H$195,COLUMN(F19),FALSE)*'Input Global'!F$18</f>
        <v>0</v>
      </c>
      <c r="G19" s="108">
        <f ca="1">VLOOKUP($B$2,'Input General'!$A$191:$H$195,COLUMN(G19),FALSE)*'Input Global'!G$18</f>
        <v>0</v>
      </c>
      <c r="H19" s="108">
        <f ca="1">VLOOKUP($B$2,'Input General'!$A$191:$H$195,COLUMN(H19),FALSE)*'Input Global'!H$18</f>
        <v>0</v>
      </c>
      <c r="I19" s="32"/>
    </row>
    <row r="20" spans="1:14" x14ac:dyDescent="0.3">
      <c r="A20" s="20" t="s">
        <v>53</v>
      </c>
      <c r="B20" s="20"/>
      <c r="C20" s="20" t="s">
        <v>55</v>
      </c>
      <c r="D20" s="108">
        <f ca="1">SUM(D8:D19)</f>
        <v>35337.876654734835</v>
      </c>
      <c r="E20" s="108">
        <f t="shared" ref="E20:H20" ca="1" si="0">SUM(E8:E19)</f>
        <v>128117.33967217362</v>
      </c>
      <c r="F20" s="108">
        <f t="shared" ca="1" si="0"/>
        <v>134002.99335520033</v>
      </c>
      <c r="G20" s="108">
        <f t="shared" ca="1" si="0"/>
        <v>139557.00668408387</v>
      </c>
      <c r="H20" s="108">
        <f t="shared" ca="1" si="0"/>
        <v>145840.17462385321</v>
      </c>
    </row>
    <row r="21" spans="1:14" x14ac:dyDescent="0.3">
      <c r="D21" s="102"/>
    </row>
    <row r="22" spans="1:14" x14ac:dyDescent="0.3">
      <c r="A22" s="18" t="str">
        <f>Dist2</f>
        <v>Powercor</v>
      </c>
    </row>
    <row r="23" spans="1:14" x14ac:dyDescent="0.3">
      <c r="A23" s="97"/>
      <c r="B23" s="97"/>
      <c r="C23" s="97"/>
      <c r="J23" s="157"/>
      <c r="K23" s="157"/>
      <c r="L23" s="157"/>
      <c r="M23" s="157"/>
      <c r="N23" s="157"/>
    </row>
    <row r="24" spans="1:14" x14ac:dyDescent="0.3">
      <c r="A24" s="17" t="str">
        <f t="shared" ref="A24:A34" si="1">A9</f>
        <v>Transmission</v>
      </c>
      <c r="C24" s="17" t="s">
        <v>55</v>
      </c>
      <c r="D24" s="108">
        <f>IF(LEFT($A$22,5)="blank",0,'Input General'!D14+(SUMPRODUCT('Input General'!D15:D18,'Input General'!D116:D119)*'Input Global'!D19))</f>
        <v>0</v>
      </c>
      <c r="E24" s="108">
        <f>IF(LEFT($A$22,5)="blank",0,'Input General'!E14+(SUMPRODUCT('Input General'!E15:E18,'Input General'!E116:E119)*'Input Global'!E19))</f>
        <v>6202.9723446853313</v>
      </c>
      <c r="F24" s="108">
        <f>IF(LEFT($A$22,5)="blank",0,'Input General'!F14+(SUMPRODUCT('Input General'!F15:F18,'Input General'!F116:F119)*'Input Global'!F19))</f>
        <v>6218.6626950420305</v>
      </c>
      <c r="G24" s="108">
        <f>IF(LEFT($A$22,5)="blank",0,'Input General'!G14+(SUMPRODUCT('Input General'!G15:G18,'Input General'!G116:G119)*'Input Global'!G19))</f>
        <v>6217.8565908331775</v>
      </c>
      <c r="H24" s="108">
        <f>IF(LEFT($A$22,5)="blank",0,'Input General'!H14+(SUMPRODUCT('Input General'!H15:H18,'Input General'!H116:H119)*'Input Global'!H19))</f>
        <v>6247.9696549581267</v>
      </c>
    </row>
    <row r="25" spans="1:14" x14ac:dyDescent="0.3">
      <c r="A25" s="17" t="str">
        <f t="shared" si="1"/>
        <v>Distribution</v>
      </c>
      <c r="C25" s="17" t="s">
        <v>55</v>
      </c>
      <c r="D25" s="108">
        <f>IF(LEFT($A$22,5)="blank",0,'Input General'!D46+SUMPRODUCT('Input General'!D47:D50,'Input General'!D116:D119)*'Input Global'!D19+'Input General'!D72)</f>
        <v>0</v>
      </c>
      <c r="E25" s="108">
        <f>IF(LEFT($A$22,5)="blank",0,'Input General'!E46+SUMPRODUCT('Input General'!E47:E50,'Input General'!E116:E119)*'Input Global'!E19+'Input General'!E72)</f>
        <v>40331.10512939922</v>
      </c>
      <c r="F25" s="108">
        <f>IF(LEFT($A$22,5)="blank",0,'Input General'!F46+SUMPRODUCT('Input General'!F47:F50,'Input General'!F116:F119)*'Input Global'!F19+'Input General'!F72)</f>
        <v>43627.331792973535</v>
      </c>
      <c r="G25" s="108">
        <f>IF(LEFT($A$22,5)="blank",0,'Input General'!G46+SUMPRODUCT('Input General'!G47:G50,'Input General'!G116:G119)*'Input Global'!G19+'Input General'!G72)</f>
        <v>47138.174574861368</v>
      </c>
      <c r="H25" s="108">
        <f>IF(LEFT($A$22,5)="blank",0,'Input General'!H46+SUMPRODUCT('Input General'!H47:H50,'Input General'!H116:H119)*'Input Global'!H19+'Input General'!H72)</f>
        <v>50952.858783241027</v>
      </c>
    </row>
    <row r="26" spans="1:14" x14ac:dyDescent="0.3">
      <c r="A26" s="97"/>
      <c r="B26" s="97"/>
      <c r="C26" s="97"/>
    </row>
    <row r="27" spans="1:14" x14ac:dyDescent="0.3">
      <c r="A27" s="17" t="str">
        <f t="shared" si="1"/>
        <v>Retail and Wholesale</v>
      </c>
      <c r="C27" s="17" t="s">
        <v>55</v>
      </c>
      <c r="D27" s="108">
        <f ca="1">IF(LEFT($A$22,5)="blank",0,VLOOKUP($B$2,'Input General'!$A$229:$H$233,COLUMN(D12),FALSE)*'Input Global'!D$34)+IF(LEFT($A$22,5)="blank",0,VLOOKUP($B$2,dist2wholesale,COLUMN(D8),FALSE)*'Input Global'!D19)</f>
        <v>34944.928044604494</v>
      </c>
      <c r="E27" s="108">
        <f ca="1">IF(LEFT($A$22,5)="blank",0,VLOOKUP($B$2,'Input General'!$A$229:$H$233,COLUMN(E12),FALSE)*'Input Global'!E$34)+IF(LEFT($A$22,5)="blank",0,VLOOKUP($B$2,dist2wholesale,COLUMN(E8),FALSE)*'Input Global'!E19)</f>
        <v>86550.234381842907</v>
      </c>
      <c r="F27" s="108">
        <f ca="1">IF(LEFT($A$22,5)="blank",0,VLOOKUP($B$2,'Input General'!$A$229:$H$233,COLUMN(F12),FALSE)*'Input Global'!F$34)+IF(LEFT($A$22,5)="blank",0,VLOOKUP($B$2,dist2wholesale,COLUMN(F8),FALSE)*'Input Global'!F19)</f>
        <v>84841.196151127282</v>
      </c>
      <c r="G27" s="108">
        <f ca="1">IF(LEFT($A$22,5)="blank",0,VLOOKUP($B$2,'Input General'!$A$229:$H$233,COLUMN(G12),FALSE)*'Input Global'!G$34)+IF(LEFT($A$22,5)="blank",0,VLOOKUP($B$2,dist2wholesale,COLUMN(G8),FALSE)*'Input Global'!G19)</f>
        <v>86482.77820997368</v>
      </c>
      <c r="H27" s="108">
        <f ca="1">IF(LEFT($A$22,5)="blank",0,VLOOKUP($B$2,'Input General'!$A$229:$H$233,COLUMN(H12),FALSE)*'Input Global'!H$34)+IF(LEFT($A$22,5)="blank",0,VLOOKUP($B$2,dist2wholesale,COLUMN(H8),FALSE)*'Input Global'!H19)</f>
        <v>87855.284771204286</v>
      </c>
      <c r="I27" s="32"/>
    </row>
    <row r="28" spans="1:14" x14ac:dyDescent="0.3">
      <c r="A28" s="17" t="str">
        <f t="shared" si="1"/>
        <v>Green Schemes</v>
      </c>
      <c r="D28" s="103"/>
      <c r="E28" s="103"/>
      <c r="F28" s="103"/>
      <c r="G28" s="103"/>
      <c r="H28" s="103"/>
    </row>
    <row r="29" spans="1:14" x14ac:dyDescent="0.3">
      <c r="A29" s="19" t="str">
        <f t="shared" si="1"/>
        <v>Feed-in Tariffs</v>
      </c>
      <c r="C29" s="17" t="s">
        <v>55</v>
      </c>
      <c r="D29" s="108">
        <f>IF(LEFT($A$22,5)="blank",0,'Input General'!D85+SUMPRODUCT('Input General'!D86:D89,'Input General'!D116:D119)*'Input Global'!D19)</f>
        <v>0</v>
      </c>
      <c r="E29" s="108">
        <f>IF(LEFT($A$22,5)="blank",0,'Input General'!E85+SUMPRODUCT('Input General'!E86:E89,'Input General'!E116:E119)*'Input Global'!E19)</f>
        <v>1488.553030334584</v>
      </c>
      <c r="F29" s="108">
        <f>IF(LEFT($A$22,5)="blank",0,'Input General'!F85+SUMPRODUCT('Input General'!F86:F89,'Input General'!F116:F119)*'Input Global'!F19)</f>
        <v>1498.2146145536015</v>
      </c>
      <c r="G29" s="108">
        <f>IF(LEFT($A$22,5)="blank",0,'Input General'!G85+SUMPRODUCT('Input General'!G86:G89,'Input General'!G116:G119)*'Input Global'!G19)</f>
        <v>1503.9618686445797</v>
      </c>
      <c r="H29" s="108">
        <f>IF(LEFT($A$22,5)="blank",0,'Input General'!H85+SUMPRODUCT('Input General'!H86:H89,'Input General'!H116:H119)*'Input Global'!H19)</f>
        <v>1517.2041040482595</v>
      </c>
    </row>
    <row r="30" spans="1:14" x14ac:dyDescent="0.3">
      <c r="A30" s="19" t="str">
        <f t="shared" si="1"/>
        <v>Carbon costs</v>
      </c>
      <c r="C30" s="17" t="s">
        <v>55</v>
      </c>
      <c r="D30" s="108">
        <f ca="1">IF(LEFT($A$22,5)="blank",0,VLOOKUP($B$2,'Input General'!$A$262:$H$266,COLUMN('Input General'!D262),FALSE)*'Input Global'!D$19)</f>
        <v>0</v>
      </c>
      <c r="E30" s="108">
        <f ca="1">IF(LEFT($A$22,5)="blank",0,VLOOKUP($B$2,'Input General'!$A$262:$H$266,COLUMN('Input General'!E262),FALSE)*'Input Global'!E$19)</f>
        <v>0</v>
      </c>
      <c r="F30" s="108">
        <f ca="1">IF(LEFT($A$22,5)="blank",0,VLOOKUP($B$2,'Input General'!$A$262:$H$266,COLUMN('Input General'!F262),FALSE)*'Input Global'!F$19)</f>
        <v>10244.597444220091</v>
      </c>
      <c r="G30" s="108">
        <f ca="1">IF(LEFT($A$22,5)="blank",0,VLOOKUP($B$2,'Input General'!$A$262:$H$266,COLUMN('Input General'!G262),FALSE)*'Input Global'!G$19)</f>
        <v>10473.909225601961</v>
      </c>
      <c r="H30" s="108">
        <f ca="1">IF(LEFT($A$22,5)="blank",0,VLOOKUP($B$2,'Input General'!$A$262:$H$266,COLUMN('Input General'!H262),FALSE)*'Input Global'!H$19)</f>
        <v>11333.587958090713</v>
      </c>
      <c r="I30" s="32"/>
    </row>
    <row r="31" spans="1:14" x14ac:dyDescent="0.3">
      <c r="A31" s="19" t="str">
        <f t="shared" si="1"/>
        <v>Large Scale Renewable Energy Target</v>
      </c>
      <c r="C31" s="17" t="s">
        <v>55</v>
      </c>
      <c r="D31" s="108">
        <f ca="1">IF(LEFT($A$22,5)="blank",0,VLOOKUP($B$2,'Input General'!$A325:$H330,COLUMN(D16),FALSE)*'Input Global'!D19)</f>
        <v>1207.2319490745772</v>
      </c>
      <c r="E31" s="108">
        <f ca="1">IF(LEFT($A$22,5)="blank",0,VLOOKUP($B$2,'Input General'!$A325:$H330,COLUMN(E16),FALSE)*'Input Global'!E19)</f>
        <v>2070.6471001134769</v>
      </c>
      <c r="F31" s="108">
        <f ca="1">IF(LEFT($A$22,5)="blank",0,VLOOKUP($B$2,'Input General'!$A325:$H330,COLUMN(F16),FALSE)*'Input Global'!F19)</f>
        <v>3031.3917806135009</v>
      </c>
      <c r="G31" s="108">
        <f ca="1">IF(LEFT($A$22,5)="blank",0,VLOOKUP($B$2,'Input General'!$A325:$H330,COLUMN(G16),FALSE)*'Input Global'!G19)</f>
        <v>3165.2888405838162</v>
      </c>
      <c r="H31" s="108">
        <f ca="1">IF(LEFT($A$22,5)="blank",0,VLOOKUP($B$2,'Input General'!$A325:$H330,COLUMN(H16),FALSE)*'Input Global'!H19)</f>
        <v>3286.0192301240681</v>
      </c>
      <c r="I31" s="32"/>
    </row>
    <row r="32" spans="1:14" x14ac:dyDescent="0.3">
      <c r="A32" s="19" t="str">
        <f t="shared" si="1"/>
        <v>Small Scale Renewable Energy Scheme</v>
      </c>
      <c r="C32" s="17" t="s">
        <v>55</v>
      </c>
      <c r="D32" s="108">
        <f ca="1">IF(LEFT($A$22,5)="blank",0,'Input General'!D143*'Input Global'!D$19)</f>
        <v>2085.1764769245315</v>
      </c>
      <c r="E32" s="108">
        <f ca="1">IF(LEFT($A$22,5)="blank",0,'Input General'!E143*'Input Global'!E$19)</f>
        <v>2058.1022527255191</v>
      </c>
      <c r="F32" s="108">
        <f ca="1">IF(LEFT($A$22,5)="blank",0,'Input General'!F143*'Input Global'!F$19)</f>
        <v>2012.2963038669923</v>
      </c>
      <c r="G32" s="108">
        <f ca="1">IF(LEFT($A$22,5)="blank",0,'Input General'!G143*'Input Global'!G$19)</f>
        <v>863.02731456846857</v>
      </c>
      <c r="H32" s="108">
        <f ca="1">IF(LEFT($A$22,5)="blank",0,'Input General'!H143*'Input Global'!H$19)</f>
        <v>735.18370373322568</v>
      </c>
      <c r="I32" s="32"/>
    </row>
    <row r="33" spans="1:15" x14ac:dyDescent="0.3">
      <c r="A33" s="19" t="str">
        <f t="shared" si="1"/>
        <v>Energy Saver Incentive</v>
      </c>
      <c r="C33" s="17" t="s">
        <v>55</v>
      </c>
      <c r="D33" s="108">
        <f ca="1">IF(LEFT($A$22,5)="blank",0,VLOOKUP($B$2,'Input General'!$A$165:$H$169,COLUMN(D33),FALSE)*'Input Global'!D$19)</f>
        <v>1848.2570603249551</v>
      </c>
      <c r="E33" s="108">
        <f ca="1">IF(LEFT($A$22,5)="blank",0,VLOOKUP($B$2,'Input General'!$A$165:$H$169,COLUMN(E33),FALSE)*'Input Global'!E$19)</f>
        <v>1824.2590311018121</v>
      </c>
      <c r="F33" s="108">
        <f ca="1">IF(LEFT($A$22,5)="blank",0,VLOOKUP($B$2,'Input General'!$A$165:$H$169,COLUMN(F33),FALSE)*'Input Global'!F$19)</f>
        <v>1737.9227807159082</v>
      </c>
      <c r="G33" s="108">
        <f ca="1">IF(LEFT($A$22,5)="blank",0,VLOOKUP($B$2,'Input General'!$A$165:$H$169,COLUMN(G33),FALSE)*'Input Global'!G$19)</f>
        <v>1693.5057010159676</v>
      </c>
      <c r="H33" s="108">
        <f ca="1">IF(LEFT($A$22,5)="blank",0,VLOOKUP($B$2,'Input General'!$A$165:$H$169,COLUMN(H33),FALSE)*'Input Global'!H$19)</f>
        <v>1660.2185831154577</v>
      </c>
      <c r="I33" s="32"/>
    </row>
    <row r="34" spans="1:15" x14ac:dyDescent="0.3">
      <c r="A34" s="19" t="str">
        <f t="shared" si="1"/>
        <v>blank</v>
      </c>
      <c r="C34" s="17" t="s">
        <v>55</v>
      </c>
      <c r="D34" s="108">
        <f ca="1">IF(LEFT($A$22,5)="blank",0,VLOOKUP($B$2,'Input General'!$A$197:$H$201,COLUMN(D34),FALSE)*'Input Global'!D$19)</f>
        <v>0</v>
      </c>
      <c r="E34" s="108">
        <f ca="1">IF(LEFT($A$22,5)="blank",0,VLOOKUP($B$2,'Input General'!$A$197:$H$201,COLUMN(E34),FALSE)*'Input Global'!E$19)</f>
        <v>0</v>
      </c>
      <c r="F34" s="108">
        <f ca="1">IF(LEFT($A$22,5)="blank",0,VLOOKUP($B$2,'Input General'!$A$197:$H$201,COLUMN(F34),FALSE)*'Input Global'!F$19)</f>
        <v>0</v>
      </c>
      <c r="G34" s="108">
        <f ca="1">IF(LEFT($A$22,5)="blank",0,VLOOKUP($B$2,'Input General'!$A$197:$H$201,COLUMN(G34),FALSE)*'Input Global'!G$19)</f>
        <v>0</v>
      </c>
      <c r="H34" s="108">
        <f ca="1">IF(LEFT($A$22,5)="blank",0,VLOOKUP($B$2,'Input General'!$A$197:$H$201,COLUMN(H34),FALSE)*'Input Global'!H$19)</f>
        <v>0</v>
      </c>
      <c r="I34" s="32"/>
    </row>
    <row r="35" spans="1:15" x14ac:dyDescent="0.3">
      <c r="A35" s="20" t="s">
        <v>53</v>
      </c>
      <c r="B35" s="20"/>
      <c r="C35" s="20" t="s">
        <v>55</v>
      </c>
      <c r="D35" s="108">
        <f ca="1">SUM(D23:D34)</f>
        <v>40085.593530928563</v>
      </c>
      <c r="E35" s="108">
        <f ca="1">SUM(E23:E34)</f>
        <v>140525.87327020284</v>
      </c>
      <c r="F35" s="108">
        <f t="shared" ref="F35:H35" ca="1" si="2">SUM(F23:F34)</f>
        <v>153211.61356311297</v>
      </c>
      <c r="G35" s="108">
        <f t="shared" ca="1" si="2"/>
        <v>157538.50232608302</v>
      </c>
      <c r="H35" s="108">
        <f t="shared" ca="1" si="2"/>
        <v>163588.32678851517</v>
      </c>
    </row>
    <row r="37" spans="1:15" x14ac:dyDescent="0.3">
      <c r="A37" s="18" t="str">
        <f>Dist3</f>
        <v>SP Ausnet</v>
      </c>
    </row>
    <row r="38" spans="1:15" x14ac:dyDescent="0.3">
      <c r="A38" s="97"/>
      <c r="B38" s="97"/>
      <c r="C38" s="97"/>
    </row>
    <row r="39" spans="1:15" x14ac:dyDescent="0.3">
      <c r="A39" s="17" t="str">
        <f t="shared" ref="A39:A49" si="3">A24</f>
        <v>Transmission</v>
      </c>
      <c r="C39" s="17" t="s">
        <v>55</v>
      </c>
      <c r="D39" s="108">
        <f>IF(LEFT($A$37,5)="blank",0,'Input General'!D20+(SUMPRODUCT('Input General'!D21:D24,'Input General'!D121:D124)*'Input Global'!D$20))</f>
        <v>0</v>
      </c>
      <c r="E39" s="108">
        <f>IF(LEFT($A$37,5)="blank",0,'Input General'!E20+(SUMPRODUCT('Input General'!E21:E24,'Input General'!E121:E124)*'Input Global'!E$20))</f>
        <v>5046.1048716151918</v>
      </c>
      <c r="F39" s="108">
        <f>IF(LEFT($A$37,5)="blank",0,'Input General'!F20+(SUMPRODUCT('Input General'!F21:F24,'Input General'!F121:F124)*'Input Global'!F$20))</f>
        <v>5037.6911121676212</v>
      </c>
      <c r="G39" s="108">
        <f>IF(LEFT($A$37,5)="blank",0,'Input General'!G20+(SUMPRODUCT('Input General'!G21:G24,'Input General'!G121:G124)*'Input Global'!G$20))</f>
        <v>5012.3109264832283</v>
      </c>
      <c r="H39" s="108">
        <f>IF(LEFT($A$37,5)="blank",0,'Input General'!H20+(SUMPRODUCT('Input General'!H21:H24,'Input General'!H121:H124)*'Input Global'!H$20))</f>
        <v>5017.2632984979691</v>
      </c>
    </row>
    <row r="40" spans="1:15" x14ac:dyDescent="0.3">
      <c r="A40" s="17" t="str">
        <f t="shared" si="3"/>
        <v>Distribution</v>
      </c>
      <c r="C40" s="17" t="s">
        <v>55</v>
      </c>
      <c r="D40" s="108">
        <f>IF(LEFT($A$37,5)="blank",0,'Input General'!D52+SUMPRODUCT('Input General'!D53:D56,'Input General'!D121:D124)*'Input Global'!D$20+'Input General'!D73)</f>
        <v>0</v>
      </c>
      <c r="E40" s="108">
        <f>IF(LEFT($A$37,5)="blank",0,'Input General'!E52+SUMPRODUCT('Input General'!E53:E56,'Input General'!E121:E124)*'Input Global'!E$20+'Input General'!E73)</f>
        <v>43163.908470428025</v>
      </c>
      <c r="F40" s="108">
        <f>IF(LEFT($A$37,5)="blank",0,'Input General'!F52+SUMPRODUCT('Input General'!F53:F56,'Input General'!F121:F124)*'Input Global'!F$20+'Input General'!F73)</f>
        <v>46847.272676484659</v>
      </c>
      <c r="G40" s="108">
        <f>IF(LEFT($A$37,5)="blank",0,'Input General'!G52+SUMPRODUCT('Input General'!G53:G56,'Input General'!G121:G124)*'Input Global'!G$20+'Input General'!G73)</f>
        <v>51313.444171889321</v>
      </c>
      <c r="H40" s="108">
        <f>IF(LEFT($A$37,5)="blank",0,'Input General'!H52+SUMPRODUCT('Input General'!H53:H56,'Input General'!H121:H124)*'Input Global'!H$20+'Input General'!H73)</f>
        <v>56363.478774462943</v>
      </c>
      <c r="K40" s="157"/>
      <c r="L40" s="157"/>
      <c r="M40" s="157"/>
      <c r="N40" s="157"/>
      <c r="O40" s="157"/>
    </row>
    <row r="41" spans="1:15" x14ac:dyDescent="0.3">
      <c r="A41" s="97"/>
      <c r="B41" s="97"/>
      <c r="C41" s="97"/>
    </row>
    <row r="42" spans="1:15" x14ac:dyDescent="0.3">
      <c r="A42" s="17" t="str">
        <f t="shared" si="3"/>
        <v>Retail and Wholesale</v>
      </c>
      <c r="C42" s="17" t="s">
        <v>55</v>
      </c>
      <c r="D42" s="108">
        <f ca="1">IF(LEFT($A$37,5)="blank",0,VLOOKUP($B$2,'Input General'!$A$235:$H$239,COLUMN(D27),FALSE)*'Input Global'!D$35)+IF(LEFT($A$37,5)="blank",0,VLOOKUP($B$2,dist3wholesale,COLUMN(D38),FALSE)*'Input Global'!D20)</f>
        <v>37302.770754850208</v>
      </c>
      <c r="E42" s="108">
        <f ca="1">IF(LEFT($A$37,5)="blank",0,VLOOKUP($B$2,'Input General'!$A$235:$H$239,COLUMN(E27),FALSE)*'Input Global'!E$35)+IF(LEFT($A$37,5)="blank",0,VLOOKUP($B$2,dist3wholesale,COLUMN(E38),FALSE)*'Input Global'!E20)</f>
        <v>80557.419685131259</v>
      </c>
      <c r="F42" s="108">
        <f ca="1">IF(LEFT($A$37,5)="blank",0,VLOOKUP($B$2,'Input General'!$A$235:$H$239,COLUMN(F27),FALSE)*'Input Global'!F$35)+IF(LEFT($A$37,5)="blank",0,VLOOKUP($B$2,dist3wholesale,COLUMN(F38),FALSE)*'Input Global'!F20)</f>
        <v>76208.835987843413</v>
      </c>
      <c r="G42" s="108">
        <f ca="1">IF(LEFT($A$37,5)="blank",0,VLOOKUP($B$2,'Input General'!$A$235:$H$239,COLUMN(G27),FALSE)*'Input Global'!G$35)+IF(LEFT($A$37,5)="blank",0,VLOOKUP($B$2,dist3wholesale,COLUMN(G38),FALSE)*'Input Global'!G20)</f>
        <v>79456.431732577475</v>
      </c>
      <c r="H42" s="108">
        <f ca="1">IF(LEFT($A$37,5)="blank",0,VLOOKUP($B$2,'Input General'!$A$235:$H$239,COLUMN(H27),FALSE)*'Input Global'!H$35)+IF(LEFT($A$37,5)="blank",0,VLOOKUP($B$2,dist3wholesale,COLUMN(H38),FALSE)*'Input Global'!H20)</f>
        <v>81285.948229064204</v>
      </c>
    </row>
    <row r="43" spans="1:15" x14ac:dyDescent="0.3">
      <c r="A43" s="17" t="str">
        <f t="shared" si="3"/>
        <v>Green Schemes</v>
      </c>
      <c r="D43" s="103"/>
      <c r="E43" s="103"/>
      <c r="F43" s="103"/>
      <c r="G43" s="103"/>
      <c r="H43" s="103"/>
    </row>
    <row r="44" spans="1:15" x14ac:dyDescent="0.3">
      <c r="A44" s="19" t="str">
        <f t="shared" si="3"/>
        <v>Feed-in Tariffs</v>
      </c>
      <c r="C44" s="17" t="s">
        <v>55</v>
      </c>
      <c r="D44" s="108">
        <f>IF(LEFT($A$37,5)="blank",0,'Input General'!D91+SUMPRODUCT('Input General'!D92:D95,'Input General'!D121:D124)*'Input Global'!D$20)</f>
        <v>0</v>
      </c>
      <c r="E44" s="108">
        <f>IF(LEFT($A$37,5)="blank",0,'Input General'!E91+SUMPRODUCT('Input General'!E92:E95,'Input General'!E121:E124)*'Input Global'!E$20)</f>
        <v>1003.0915487369019</v>
      </c>
      <c r="F44" s="108">
        <f>IF(LEFT($A$37,5)="blank",0,'Input General'!F91+SUMPRODUCT('Input General'!F92:F95,'Input General'!F121:F124)*'Input Global'!F$20)</f>
        <v>1010.9887023359018</v>
      </c>
      <c r="G44" s="108">
        <f>IF(LEFT($A$37,5)="blank",0,'Input General'!G91+SUMPRODUCT('Input General'!G92:G95,'Input General'!G121:G124)*'Input Global'!G$20)</f>
        <v>1016.4919020208263</v>
      </c>
      <c r="H44" s="108">
        <f>IF(LEFT($A$37,5)="blank",0,'Input General'!H91+SUMPRODUCT('Input General'!H92:H95,'Input General'!H121:H124)*'Input Global'!H$20)</f>
        <v>1026.7165674206813</v>
      </c>
    </row>
    <row r="45" spans="1:15" x14ac:dyDescent="0.3">
      <c r="A45" s="19" t="str">
        <f t="shared" si="3"/>
        <v>Carbon costs</v>
      </c>
      <c r="C45" s="17" t="s">
        <v>55</v>
      </c>
      <c r="D45" s="108">
        <f ca="1">IF(LEFT($A$37,5)="blank",0,VLOOKUP($B$2,'Input General'!$A$268:$H$272,COLUMN('Input General'!D268),FALSE)*'Input Global'!D$20)</f>
        <v>0</v>
      </c>
      <c r="E45" s="108">
        <f ca="1">IF(LEFT($A$37,5)="blank",0,VLOOKUP($B$2,'Input General'!$A$268:$H$272,COLUMN('Input General'!E268),FALSE)*'Input Global'!E$20)</f>
        <v>0</v>
      </c>
      <c r="F45" s="108">
        <f ca="1">IF(LEFT($A$37,5)="blank",0,VLOOKUP($B$2,'Input General'!$A$268:$H$272,COLUMN('Input General'!F268),FALSE)*'Input Global'!F$20)</f>
        <v>10244.597444220091</v>
      </c>
      <c r="G45" s="108">
        <f ca="1">IF(LEFT($A$37,5)="blank",0,VLOOKUP($B$2,'Input General'!$A$268:$H$272,COLUMN('Input General'!G268),FALSE)*'Input Global'!G$20)</f>
        <v>10473.587207246472</v>
      </c>
      <c r="H45" s="108">
        <f ca="1">IF(LEFT($A$37,5)="blank",0,VLOOKUP($B$2,'Input General'!$A$268:$H$272,COLUMN('Input General'!H268),FALSE)*'Input Global'!H$20)</f>
        <v>10786.228020717941</v>
      </c>
    </row>
    <row r="46" spans="1:15" x14ac:dyDescent="0.3">
      <c r="A46" s="19" t="str">
        <f t="shared" si="3"/>
        <v>Large Scale Renewable Energy Target</v>
      </c>
      <c r="C46" s="17" t="s">
        <v>55</v>
      </c>
      <c r="D46" s="108">
        <f ca="1">IF(LEFT($A$37,5)="blank",0,VLOOKUP($B$2,'Input General'!$A331:$H336,COLUMN(D16),FALSE)*'Input Global'!D20)</f>
        <v>1207.2319490745772</v>
      </c>
      <c r="E46" s="108">
        <f ca="1">IF(LEFT($A$37,5)="blank",0,VLOOKUP($B$2,'Input General'!$A331:$H336,COLUMN(E16),FALSE)*'Input Global'!E20)</f>
        <v>2070.6471001134769</v>
      </c>
      <c r="F46" s="108">
        <f ca="1">IF(LEFT($A$37,5)="blank",0,VLOOKUP($B$2,'Input General'!$A331:$H336,COLUMN(F16),FALSE)*'Input Global'!F20)</f>
        <v>3031.3917806135009</v>
      </c>
      <c r="G46" s="108">
        <f ca="1">IF(LEFT($A$37,5)="blank",0,VLOOKUP($B$2,'Input General'!$A331:$H336,COLUMN(G16),FALSE)*'Input Global'!G20)</f>
        <v>3165.2888405838162</v>
      </c>
      <c r="H46" s="108">
        <f ca="1">IF(LEFT($A$37,5)="blank",0,VLOOKUP($B$2,'Input General'!$A331:$H336,COLUMN(H16),FALSE)*'Input Global'!H20)</f>
        <v>3286.0192301240681</v>
      </c>
    </row>
    <row r="47" spans="1:15" x14ac:dyDescent="0.3">
      <c r="A47" s="19" t="str">
        <f t="shared" si="3"/>
        <v>Small Scale Renewable Energy Scheme</v>
      </c>
      <c r="C47" s="17" t="s">
        <v>55</v>
      </c>
      <c r="D47" s="108">
        <f ca="1">IF(LEFT($A$37,5)="blank",0,'Input General'!D147*'Input Global'!D$20)</f>
        <v>2085.1764769245315</v>
      </c>
      <c r="E47" s="108">
        <f ca="1">IF(LEFT($A$37,5)="blank",0,'Input General'!E147*'Input Global'!E$20)</f>
        <v>2474.3240707424361</v>
      </c>
      <c r="F47" s="108">
        <f ca="1">IF(LEFT($A$37,5)="blank",0,'Input General'!F147*'Input Global'!F$20)</f>
        <v>1317.9953755290896</v>
      </c>
      <c r="G47" s="108">
        <f ca="1">IF(LEFT($A$37,5)="blank",0,'Input General'!G147*'Input Global'!G$20)</f>
        <v>565.25771446813451</v>
      </c>
      <c r="H47" s="108">
        <f ca="1">IF(LEFT($A$37,5)="blank",0,'Input General'!H147*'Input Global'!H$20)</f>
        <v>481.52387887543739</v>
      </c>
    </row>
    <row r="48" spans="1:15" x14ac:dyDescent="0.3">
      <c r="A48" s="19" t="str">
        <f t="shared" si="3"/>
        <v>Energy Saver Incentive</v>
      </c>
      <c r="C48" s="17" t="s">
        <v>55</v>
      </c>
      <c r="D48" s="108">
        <f ca="1">IF(LEFT($A$37,5)="blank",0,VLOOKUP($B$2,'Input General'!$A$171:$H$175,COLUMN(D33),FALSE)*'Input Global'!D$20)</f>
        <v>1848.2570603249551</v>
      </c>
      <c r="E48" s="108">
        <f ca="1">IF(LEFT($A$37,5)="blank",0,VLOOKUP($B$2,'Input General'!$A$171:$H$175,COLUMN(E33),FALSE)*'Input Global'!E$20)</f>
        <v>1824.2590311018121</v>
      </c>
      <c r="F48" s="108">
        <f ca="1">IF(LEFT($A$37,5)="blank",0,VLOOKUP($B$2,'Input General'!$A$171:$H$175,COLUMN(F33),FALSE)*'Input Global'!F$20)</f>
        <v>1737.9227807159082</v>
      </c>
      <c r="G48" s="108">
        <f ca="1">IF(LEFT($A$37,5)="blank",0,VLOOKUP($B$2,'Input General'!$A$171:$H$175,COLUMN(G33),FALSE)*'Input Global'!G$20)</f>
        <v>1693.5057010159676</v>
      </c>
      <c r="H48" s="108">
        <f ca="1">IF(LEFT($A$37,5)="blank",0,VLOOKUP($B$2,'Input General'!$A$171:$H$175,COLUMN(H33),FALSE)*'Input Global'!H$20)</f>
        <v>1660.2185831154577</v>
      </c>
    </row>
    <row r="49" spans="1:16" x14ac:dyDescent="0.3">
      <c r="A49" s="19" t="str">
        <f t="shared" si="3"/>
        <v>blank</v>
      </c>
      <c r="C49" s="17" t="s">
        <v>55</v>
      </c>
      <c r="D49" s="108">
        <f ca="1">IF(LEFT($A$37,5)="blank",0,VLOOKUP($B$2,'Input General'!$A$203:$H$207,COLUMN(D49),FALSE)*'Input Global'!D$20)</f>
        <v>0</v>
      </c>
      <c r="E49" s="108">
        <f ca="1">IF(LEFT($A$37,5)="blank",0,VLOOKUP($B$2,'Input General'!$A$203:$H$207,COLUMN(E49),FALSE)*'Input Global'!E$20)</f>
        <v>0</v>
      </c>
      <c r="F49" s="108">
        <f ca="1">IF(LEFT($A$37,5)="blank",0,VLOOKUP($B$2,'Input General'!$A$203:$H$207,COLUMN(F49),FALSE)*'Input Global'!F$20)</f>
        <v>0</v>
      </c>
      <c r="G49" s="108">
        <f ca="1">IF(LEFT($A$37,5)="blank",0,VLOOKUP($B$2,'Input General'!$A$203:$H$207,COLUMN(G49),FALSE)*'Input Global'!G$20)</f>
        <v>0</v>
      </c>
      <c r="H49" s="108">
        <f ca="1">IF(LEFT($A$37,5)="blank",0,VLOOKUP($B$2,'Input General'!$A$203:$H$207,COLUMN(H49),FALSE)*'Input Global'!H$20)</f>
        <v>0</v>
      </c>
    </row>
    <row r="50" spans="1:16" x14ac:dyDescent="0.3">
      <c r="A50" s="20" t="s">
        <v>53</v>
      </c>
      <c r="B50" s="20"/>
      <c r="C50" s="20" t="s">
        <v>55</v>
      </c>
      <c r="D50" s="108">
        <f ca="1">SUM(D38:D49)</f>
        <v>42443.436241174277</v>
      </c>
      <c r="E50" s="108">
        <f t="shared" ref="E50:H50" ca="1" si="4">SUM(E38:E49)</f>
        <v>136139.75477786909</v>
      </c>
      <c r="F50" s="108">
        <f t="shared" ca="1" si="4"/>
        <v>145436.69585991019</v>
      </c>
      <c r="G50" s="108">
        <f t="shared" ca="1" si="4"/>
        <v>152696.31819628525</v>
      </c>
      <c r="H50" s="108">
        <f t="shared" ca="1" si="4"/>
        <v>159907.39658227874</v>
      </c>
    </row>
    <row r="52" spans="1:16" x14ac:dyDescent="0.3">
      <c r="A52" s="18" t="str">
        <f>Dist4</f>
        <v>United</v>
      </c>
    </row>
    <row r="53" spans="1:16" x14ac:dyDescent="0.3">
      <c r="A53" s="97"/>
      <c r="B53" s="97"/>
      <c r="C53" s="97"/>
    </row>
    <row r="54" spans="1:16" x14ac:dyDescent="0.3">
      <c r="A54" s="17" t="str">
        <f t="shared" ref="A54:A64" si="5">A39</f>
        <v>Transmission</v>
      </c>
      <c r="C54" s="17" t="s">
        <v>55</v>
      </c>
      <c r="D54" s="108">
        <f>IF(LEFT($A$52,5)="blank",0,'Input General'!D26+(SUMPRODUCT('Input General'!D27:D30,'Input General'!D126:D129)*'Input Global'!D$21))</f>
        <v>0</v>
      </c>
      <c r="E54" s="108">
        <f>IF(LEFT($A$52,5)="blank",0,'Input General'!E26+(SUMPRODUCT('Input General'!E27:E30,'Input General'!E126:E129)*'Input Global'!E$21))</f>
        <v>7746.8799701304106</v>
      </c>
      <c r="F54" s="108">
        <f>IF(LEFT($A$52,5)="blank",0,'Input General'!F26+(SUMPRODUCT('Input General'!F27:F30,'Input General'!F126:F129)*'Input Global'!F$21))</f>
        <v>7733.9630002702461</v>
      </c>
      <c r="G54" s="108">
        <f>IF(LEFT($A$52,5)="blank",0,'Input General'!G26+(SUMPRODUCT('Input General'!G27:G30,'Input General'!G126:G129)*'Input Global'!G$21))</f>
        <v>7694.9988373923388</v>
      </c>
      <c r="H54" s="108">
        <f>IF(LEFT($A$52,5)="blank",0,'Input General'!H26+(SUMPRODUCT('Input General'!H27:H30,'Input General'!H126:H129)*'Input Global'!H$21))</f>
        <v>7702.6018168273158</v>
      </c>
    </row>
    <row r="55" spans="1:16" x14ac:dyDescent="0.3">
      <c r="A55" s="17" t="str">
        <f t="shared" si="5"/>
        <v>Distribution</v>
      </c>
      <c r="C55" s="17" t="s">
        <v>55</v>
      </c>
      <c r="D55" s="108">
        <f>IF(LEFT($A$52,5)="blank",0,'Input General'!D58+SUMPRODUCT('Input General'!D59:D62,'Input General'!D126:D129)*'Input Global'!D$21+'Input General'!D74)</f>
        <v>0</v>
      </c>
      <c r="E55" s="108">
        <f>IF(LEFT($A$52,5)="blank",0,'Input General'!E58+SUMPRODUCT('Input General'!E59:E62,'Input General'!E126:E129)*'Input Global'!E$21+'Input General'!E74)</f>
        <v>36568.778951105123</v>
      </c>
      <c r="F55" s="108">
        <f>IF(LEFT($A$52,5)="blank",0,'Input General'!F58+SUMPRODUCT('Input General'!F59:F62,'Input General'!F126:F129)*'Input Global'!F$21+'Input General'!F74)</f>
        <v>40023.874109077631</v>
      </c>
      <c r="G55" s="108">
        <f>IF(LEFT($A$52,5)="blank",0,'Input General'!G58+SUMPRODUCT('Input General'!G59:G62,'Input General'!G126:G129)*'Input Global'!G$21+'Input General'!G74)</f>
        <v>45032.909324059874</v>
      </c>
      <c r="H55" s="108">
        <f>IF(LEFT($A$52,5)="blank",0,'Input General'!H58+SUMPRODUCT('Input General'!H59:H62,'Input General'!H126:H129)*'Input Global'!H$21+'Input General'!H74)</f>
        <v>50812.851016141794</v>
      </c>
      <c r="L55" s="157"/>
      <c r="M55" s="157"/>
      <c r="N55" s="157"/>
      <c r="O55" s="157"/>
      <c r="P55" s="157"/>
    </row>
    <row r="56" spans="1:16" x14ac:dyDescent="0.3">
      <c r="A56" s="97"/>
      <c r="B56" s="97"/>
      <c r="C56" s="97"/>
    </row>
    <row r="57" spans="1:16" x14ac:dyDescent="0.3">
      <c r="A57" s="17" t="str">
        <f t="shared" si="5"/>
        <v>Retail and Wholesale</v>
      </c>
      <c r="C57" s="17" t="s">
        <v>55</v>
      </c>
      <c r="D57" s="108">
        <f ca="1">IF(LEFT($A$52,5)="blank",0,VLOOKUP($B$2,'Input General'!$A$241:$H$245,COLUMN(D57),FALSE)*'Input Global'!D$36)+IF(LEFT($A$52,5)="blank",0,VLOOKUP($B$2,dist4wholesale,COLUMN(D53),FALSE)*'Input Global'!D21)</f>
        <v>37554.806443901856</v>
      </c>
      <c r="E57" s="108">
        <f ca="1">IF(LEFT($A$52,5)="blank",0,VLOOKUP($B$2,'Input General'!$A$241:$H$245,COLUMN(E57),FALSE)*'Input Global'!E$36)+IF(LEFT($A$52,5)="blank",0,VLOOKUP($B$2,dist4wholesale,COLUMN(E53),FALSE)*'Input Global'!E21)</f>
        <v>77956.382499819636</v>
      </c>
      <c r="F57" s="108">
        <f ca="1">IF(LEFT($A$52,5)="blank",0,VLOOKUP($B$2,'Input General'!$A$241:$H$245,COLUMN(F57),FALSE)*'Input Global'!F$36)+IF(LEFT($A$52,5)="blank",0,VLOOKUP($B$2,dist4wholesale,COLUMN(F53),FALSE)*'Input Global'!F21)</f>
        <v>75576.2900799114</v>
      </c>
      <c r="G57" s="108">
        <f ca="1">IF(LEFT($A$52,5)="blank",0,VLOOKUP($B$2,'Input General'!$A$241:$H$245,COLUMN(G57),FALSE)*'Input Global'!G$36)+IF(LEFT($A$52,5)="blank",0,VLOOKUP($B$2,dist4wholesale,COLUMN(G53),FALSE)*'Input Global'!G21)</f>
        <v>77627.356263123263</v>
      </c>
      <c r="H57" s="108">
        <f ca="1">IF(LEFT($A$52,5)="blank",0,VLOOKUP($B$2,'Input General'!$A$241:$H$245,COLUMN(H57),FALSE)*'Input Global'!H$36)+IF(LEFT($A$52,5)="blank",0,VLOOKUP($B$2,dist4wholesale,COLUMN(H53),FALSE)*'Input Global'!H21)</f>
        <v>79325.337573296711</v>
      </c>
    </row>
    <row r="58" spans="1:16" x14ac:dyDescent="0.3">
      <c r="A58" s="17" t="str">
        <f t="shared" si="5"/>
        <v>Green Schemes</v>
      </c>
      <c r="D58" s="103"/>
      <c r="E58" s="103"/>
      <c r="F58" s="103"/>
      <c r="G58" s="103"/>
      <c r="H58" s="103"/>
    </row>
    <row r="59" spans="1:16" x14ac:dyDescent="0.3">
      <c r="A59" s="19" t="str">
        <f t="shared" si="5"/>
        <v>Feed-in Tariffs</v>
      </c>
      <c r="C59" s="17" t="s">
        <v>55</v>
      </c>
      <c r="D59" s="108">
        <f>IF(LEFT($A$52,5)="blank",0,'Input General'!D97+SUMPRODUCT('Input General'!D98:D101,'Input General'!D126:D129)*'Input Global'!D$21)</f>
        <v>0</v>
      </c>
      <c r="E59" s="108">
        <f>IF(LEFT($A$52,5)="blank",0,'Input General'!E97+SUMPRODUCT('Input General'!E98:E101,'Input General'!E126:E129)*'Input Global'!E$21)</f>
        <v>721.78750000000002</v>
      </c>
      <c r="F59" s="108">
        <f>IF(LEFT($A$52,5)="blank",0,'Input General'!F97+SUMPRODUCT('Input General'!F98:F101,'Input General'!F126:F129)*'Input Global'!F$21)</f>
        <v>739.83218749999992</v>
      </c>
      <c r="G59" s="108">
        <f>IF(LEFT($A$52,5)="blank",0,'Input General'!G97+SUMPRODUCT('Input General'!G98:G101,'Input General'!G126:G129)*'Input Global'!G$21)</f>
        <v>758.32799218749983</v>
      </c>
      <c r="H59" s="108">
        <f>IF(LEFT($A$52,5)="blank",0,'Input General'!H97+SUMPRODUCT('Input General'!H98:H101,'Input General'!H126:H129)*'Input Global'!H$21)</f>
        <v>777.28619199218724</v>
      </c>
    </row>
    <row r="60" spans="1:16" x14ac:dyDescent="0.3">
      <c r="A60" s="19" t="str">
        <f t="shared" si="5"/>
        <v>Carbon costs</v>
      </c>
      <c r="C60" s="17" t="s">
        <v>55</v>
      </c>
      <c r="D60" s="108">
        <f ca="1">IF(LEFT($A$52,5)="blank",0,VLOOKUP($B$2,'Input General'!$A$274:$H$278,COLUMN(D60),FALSE)*'Input Global'!D$21)</f>
        <v>0</v>
      </c>
      <c r="E60" s="108">
        <f ca="1">IF(LEFT($A$52,5)="blank",0,VLOOKUP($B$2,'Input General'!$A$274:$H$278,COLUMN(E60),FALSE)*'Input Global'!E$21)</f>
        <v>0</v>
      </c>
      <c r="F60" s="108">
        <f ca="1">IF(LEFT($A$52,5)="blank",0,VLOOKUP($B$2,'Input General'!$A$274:$H$278,COLUMN(F60),FALSE)*'Input Global'!F$21)</f>
        <v>10244.597444220091</v>
      </c>
      <c r="G60" s="108">
        <f ca="1">IF(LEFT($A$52,5)="blank",0,VLOOKUP($B$2,'Input General'!$A$274:$H$278,COLUMN(G60),FALSE)*'Input Global'!G$21)</f>
        <v>10471.945437271497</v>
      </c>
      <c r="H60" s="108">
        <f ca="1">IF(LEFT($A$52,5)="blank",0,VLOOKUP($B$2,'Input General'!$A$274:$H$278,COLUMN(H60),FALSE)*'Input Global'!H$21)</f>
        <v>10782.101925976185</v>
      </c>
    </row>
    <row r="61" spans="1:16" x14ac:dyDescent="0.3">
      <c r="A61" s="19" t="str">
        <f t="shared" si="5"/>
        <v>Large Scale Renewable Energy Target</v>
      </c>
      <c r="C61" s="17" t="s">
        <v>55</v>
      </c>
      <c r="D61" s="108">
        <f ca="1">IF(LEFT($A$52,5)="blank",0,VLOOKUP($B$2,'Input General'!$A338:$H342,COLUMN(D61),FALSE)*'Input Global'!D21)</f>
        <v>1207.2319490745772</v>
      </c>
      <c r="E61" s="108">
        <f ca="1">IF(LEFT($A$52,5)="blank",0,VLOOKUP($B$2,'Input General'!$A338:$H342,COLUMN(E61),FALSE)*'Input Global'!E21)</f>
        <v>2070.6471001134769</v>
      </c>
      <c r="F61" s="108">
        <f ca="1">IF(LEFT($A$52,5)="blank",0,VLOOKUP($B$2,'Input General'!$A338:$H342,COLUMN(F61),FALSE)*'Input Global'!F21)</f>
        <v>3031.3917806135009</v>
      </c>
      <c r="G61" s="108">
        <f ca="1">IF(LEFT($A$52,5)="blank",0,VLOOKUP($B$2,'Input General'!$A338:$H342,COLUMN(G61),FALSE)*'Input Global'!G21)</f>
        <v>3165.2888405838162</v>
      </c>
      <c r="H61" s="108">
        <f ca="1">IF(LEFT($A$52,5)="blank",0,VLOOKUP($B$2,'Input General'!$A338:$H342,COLUMN(H61),FALSE)*'Input Global'!H21)</f>
        <v>3286.0192301240681</v>
      </c>
    </row>
    <row r="62" spans="1:16" x14ac:dyDescent="0.3">
      <c r="A62" s="19" t="str">
        <f t="shared" si="5"/>
        <v>Small Scale Renewable Energy Scheme</v>
      </c>
      <c r="C62" s="17" t="s">
        <v>55</v>
      </c>
      <c r="D62" s="108">
        <f ca="1">IF(LEFT($A$52,5)="blank",0,'Input General'!D151*'Input Global'!D$21)</f>
        <v>2085.1764769245315</v>
      </c>
      <c r="E62" s="108">
        <f ca="1">IF(LEFT($A$52,5)="blank",0,'Input General'!E151*'Input Global'!E$21)</f>
        <v>2474.3240707424361</v>
      </c>
      <c r="F62" s="108">
        <f ca="1">IF(LEFT($A$52,5)="blank",0,'Input General'!F151*'Input Global'!F$21)</f>
        <v>1317.9953755290896</v>
      </c>
      <c r="G62" s="108">
        <f ca="1">IF(LEFT($A$52,5)="blank",0,'Input General'!G151*'Input Global'!G$21)</f>
        <v>565.25771446813451</v>
      </c>
      <c r="H62" s="108">
        <f ca="1">IF(LEFT($A$52,5)="blank",0,'Input General'!H151*'Input Global'!H$21)</f>
        <v>481.52387887543739</v>
      </c>
    </row>
    <row r="63" spans="1:16" x14ac:dyDescent="0.3">
      <c r="A63" s="19" t="str">
        <f t="shared" si="5"/>
        <v>Energy Saver Incentive</v>
      </c>
      <c r="C63" s="17" t="s">
        <v>55</v>
      </c>
      <c r="D63" s="108">
        <f ca="1">IF(LEFT($A$52,5)="blank",0,VLOOKUP($B$2,'Input General'!$A$177:$H$181,COLUMN(D48),FALSE)*'Input Global'!D$21)</f>
        <v>1848.2570603249551</v>
      </c>
      <c r="E63" s="108">
        <f ca="1">IF(LEFT($A$52,5)="blank",0,VLOOKUP($B$2,'Input General'!$A$177:$H$181,COLUMN(E48),FALSE)*'Input Global'!E$21)</f>
        <v>1824.2590311018121</v>
      </c>
      <c r="F63" s="108">
        <f ca="1">IF(LEFT($A$52,5)="blank",0,VLOOKUP($B$2,'Input General'!$A$177:$H$181,COLUMN(F48),FALSE)*'Input Global'!F$21)</f>
        <v>1737.9227807159082</v>
      </c>
      <c r="G63" s="108">
        <f ca="1">IF(LEFT($A$52,5)="blank",0,VLOOKUP($B$2,'Input General'!$A$177:$H$181,COLUMN(G48),FALSE)*'Input Global'!G$21)</f>
        <v>1693.5057010159676</v>
      </c>
      <c r="H63" s="108">
        <f ca="1">IF(LEFT($A$52,5)="blank",0,VLOOKUP($B$2,'Input General'!$A$177:$H$181,COLUMN(H48),FALSE)*'Input Global'!H$21)</f>
        <v>1660.2185831154577</v>
      </c>
    </row>
    <row r="64" spans="1:16" x14ac:dyDescent="0.3">
      <c r="A64" s="19" t="str">
        <f t="shared" si="5"/>
        <v>blank</v>
      </c>
      <c r="C64" s="17" t="s">
        <v>55</v>
      </c>
      <c r="D64" s="108">
        <f ca="1">IF(LEFT($A$52,5)="blank",0,VLOOKUP($B$2,'Input General'!$A$209:$H$213,COLUMN(D64),FALSE)*'Input Global'!D$21)</f>
        <v>0</v>
      </c>
      <c r="E64" s="108">
        <f ca="1">IF(LEFT($A$52,5)="blank",0,VLOOKUP($B$2,'Input General'!$A$209:$H$213,COLUMN(E64),FALSE)*'Input Global'!E$21)</f>
        <v>0</v>
      </c>
      <c r="F64" s="108">
        <f ca="1">IF(LEFT($A$52,5)="blank",0,VLOOKUP($B$2,'Input General'!$A$209:$H$213,COLUMN(F64),FALSE)*'Input Global'!F$21)</f>
        <v>0</v>
      </c>
      <c r="G64" s="108">
        <f ca="1">IF(LEFT($A$52,5)="blank",0,VLOOKUP($B$2,'Input General'!$A$209:$H$213,COLUMN(G64),FALSE)*'Input Global'!G$21)</f>
        <v>0</v>
      </c>
      <c r="H64" s="108">
        <f ca="1">IF(LEFT($A$52,5)="blank",0,VLOOKUP($B$2,'Input General'!$A$209:$H$213,COLUMN(H64),FALSE)*'Input Global'!H$21)</f>
        <v>0</v>
      </c>
    </row>
    <row r="65" spans="1:16" x14ac:dyDescent="0.3">
      <c r="A65" s="20" t="s">
        <v>53</v>
      </c>
      <c r="B65" s="20"/>
      <c r="C65" s="20" t="s">
        <v>55</v>
      </c>
      <c r="D65" s="108">
        <f ca="1">SUM(D53:D64)</f>
        <v>42695.471930225925</v>
      </c>
      <c r="E65" s="108">
        <f t="shared" ref="E65:H65" ca="1" si="6">SUM(E53:E64)</f>
        <v>129363.05912301291</v>
      </c>
      <c r="F65" s="108">
        <f t="shared" ca="1" si="6"/>
        <v>140405.86675783788</v>
      </c>
      <c r="G65" s="108">
        <f t="shared" ca="1" si="6"/>
        <v>147009.59011010241</v>
      </c>
      <c r="H65" s="108">
        <f t="shared" ca="1" si="6"/>
        <v>154827.94021634921</v>
      </c>
    </row>
    <row r="66" spans="1:16" x14ac:dyDescent="0.3">
      <c r="D66" s="102"/>
      <c r="E66" s="102"/>
      <c r="F66" s="102"/>
      <c r="G66" s="102"/>
      <c r="H66" s="102"/>
    </row>
    <row r="67" spans="1:16" x14ac:dyDescent="0.3">
      <c r="A67" s="18" t="str">
        <f>Dist5</f>
        <v>Jemena</v>
      </c>
    </row>
    <row r="68" spans="1:16" x14ac:dyDescent="0.3">
      <c r="A68" s="97"/>
      <c r="B68" s="97"/>
      <c r="C68" s="97"/>
    </row>
    <row r="69" spans="1:16" x14ac:dyDescent="0.3">
      <c r="A69" s="17" t="str">
        <f t="shared" ref="A69:A79" si="7">A54</f>
        <v>Transmission</v>
      </c>
      <c r="C69" s="17" t="s">
        <v>55</v>
      </c>
      <c r="D69" s="108">
        <f>IF(LEFT($A$67,5)="blank",0,'Input General'!D32+(SUMPRODUCT('Input General'!D33:D36,'Input General'!D131:D134)*'Input Global'!D$22))</f>
        <v>0</v>
      </c>
      <c r="E69" s="108">
        <f>IF(LEFT($A$67,5)="blank",0,'Input General'!E32+(SUMPRODUCT('Input General'!E33:E36,'Input General'!E131:E134)*'Input Global'!E$22))</f>
        <v>4696.4309826740309</v>
      </c>
      <c r="F69" s="108">
        <f>IF(LEFT($A$67,5)="blank",0,'Input General'!F32+(SUMPRODUCT('Input General'!F33:F36,'Input General'!F131:F134)*'Input Global'!F$22))</f>
        <v>4696.0654467268905</v>
      </c>
      <c r="G69" s="108">
        <f>IF(LEFT($A$67,5)="blank",0,'Input General'!G32+(SUMPRODUCT('Input General'!G33:G36,'Input General'!G131:G134)*'Input Global'!G$22))</f>
        <v>4681.1593617962271</v>
      </c>
      <c r="H69" s="108">
        <f>IF(LEFT($A$67,5)="blank",0,'Input General'!H32+(SUMPRODUCT('Input General'!H33:H36,'Input General'!H131:H134)*'Input Global'!H$22))</f>
        <v>4692.6580076502969</v>
      </c>
      <c r="L69" s="157"/>
      <c r="M69" s="157"/>
      <c r="N69" s="157"/>
      <c r="O69" s="157"/>
      <c r="P69" s="157"/>
    </row>
    <row r="70" spans="1:16" x14ac:dyDescent="0.3">
      <c r="A70" s="17" t="str">
        <f t="shared" si="7"/>
        <v>Distribution</v>
      </c>
      <c r="C70" s="17" t="s">
        <v>55</v>
      </c>
      <c r="D70" s="108">
        <f>IF(LEFT($A$67,5)="blank",0,'Input General'!D64+SUMPRODUCT('Input General'!D65:D68,'Input General'!D131:D134)*'Input Global'!D$22+'Input General'!D75)</f>
        <v>0</v>
      </c>
      <c r="E70" s="108">
        <f>IF(LEFT($A$67,5)="blank",0,'Input General'!E64+SUMPRODUCT('Input General'!E65:E68,'Input General'!E131:E134)*'Input Global'!E$22+'Input General'!E75)</f>
        <v>46034.113542638501</v>
      </c>
      <c r="F70" s="108">
        <f>IF(LEFT($A$67,5)="blank",0,'Input General'!F64+SUMPRODUCT('Input General'!F65:F68,'Input General'!F131:F134)*'Input Global'!F$22+'Input General'!F75)</f>
        <v>49511.647190717289</v>
      </c>
      <c r="G70" s="108">
        <f>IF(LEFT($A$67,5)="blank",0,'Input General'!G64+SUMPRODUCT('Input General'!G65:G68,'Input General'!G131:G134)*'Input Global'!G$22+'Input General'!G75)</f>
        <v>52196.285245207393</v>
      </c>
      <c r="H70" s="108">
        <f>IF(LEFT($A$67,5)="blank",0,'Input General'!H64+SUMPRODUCT('Input General'!H65:H68,'Input General'!H131:H134)*'Input Global'!H$22+'Input General'!H75)</f>
        <v>53948.981416067443</v>
      </c>
    </row>
    <row r="71" spans="1:16" x14ac:dyDescent="0.3">
      <c r="A71" s="97"/>
      <c r="B71" s="97"/>
      <c r="C71" s="97"/>
    </row>
    <row r="72" spans="1:16" x14ac:dyDescent="0.3">
      <c r="A72" s="17" t="str">
        <f t="shared" si="7"/>
        <v>Retail and Wholesale</v>
      </c>
      <c r="C72" s="17" t="s">
        <v>55</v>
      </c>
      <c r="D72" s="108">
        <f ca="1">IF(LEFT($A$67,5)="blank",0,VLOOKUP($B$2,'Input General'!$A$247:$H$251,COLUMN(D72),FALSE)*'Input Global'!D$37)+IF(LEFT($A$67,5)="blank",0,VLOOKUP($B$2,dist5wholesale,COLUMN(D68),FALSE)*'Input Global'!D22)</f>
        <v>37004.370213838418</v>
      </c>
      <c r="E72" s="108">
        <f ca="1">IF(LEFT($A$67,5)="blank",0,VLOOKUP($B$2,'Input General'!$A$247:$H$251,COLUMN(E72),FALSE)*'Input Global'!E$37)+IF(LEFT($A$67,5)="blank",0,VLOOKUP($B$2,dist5wholesale,COLUMN(E68),FALSE)*'Input Global'!E22)</f>
        <v>78950.951703408049</v>
      </c>
      <c r="F72" s="108">
        <f ca="1">IF(LEFT($A$67,5)="blank",0,VLOOKUP($B$2,'Input General'!$A$247:$H$251,COLUMN(F72),FALSE)*'Input Global'!F$37)+IF(LEFT($A$67,5)="blank",0,VLOOKUP($B$2,dist5wholesale,COLUMN(F68),FALSE)*'Input Global'!F22)</f>
        <v>78783.505659763265</v>
      </c>
      <c r="G72" s="108">
        <f ca="1">IF(LEFT($A$67,5)="blank",0,VLOOKUP($B$2,'Input General'!$A$247:$H$251,COLUMN(G72),FALSE)*'Input Global'!G$37)+IF(LEFT($A$67,5)="blank",0,VLOOKUP($B$2,dist5wholesale,COLUMN(G68),FALSE)*'Input Global'!G22)</f>
        <v>77640.46980465611</v>
      </c>
      <c r="H72" s="108">
        <f ca="1">IF(LEFT($A$67,5)="blank",0,VLOOKUP($B$2,'Input General'!$A$247:$H$251,COLUMN(H72),FALSE)*'Input Global'!H$37)+IF(LEFT($A$67,5)="blank",0,VLOOKUP($B$2,dist5wholesale,COLUMN(H68),FALSE)*'Input Global'!H22)</f>
        <v>79372.251581345743</v>
      </c>
    </row>
    <row r="73" spans="1:16" x14ac:dyDescent="0.3">
      <c r="A73" s="17" t="str">
        <f t="shared" si="7"/>
        <v>Green Schemes</v>
      </c>
      <c r="D73" s="103"/>
      <c r="E73" s="103"/>
      <c r="F73" s="103"/>
      <c r="G73" s="103"/>
      <c r="H73" s="103"/>
    </row>
    <row r="74" spans="1:16" x14ac:dyDescent="0.3">
      <c r="A74" s="19" t="str">
        <f t="shared" si="7"/>
        <v>Feed-in Tariffs</v>
      </c>
      <c r="C74" s="17" t="s">
        <v>55</v>
      </c>
      <c r="D74" s="108">
        <f>IF(LEFT($A$67,5)="blank",0,'Input General'!D103+SUMPRODUCT('Input General'!D104:D107,'Input General'!D131:D134)*'Input Global'!D$22)</f>
        <v>0</v>
      </c>
      <c r="E74" s="108">
        <f>IF(LEFT($A$67,5)="blank",0,'Input General'!E103+SUMPRODUCT('Input General'!E104:E107,'Input General'!E131:E134)*'Input Global'!E$22)</f>
        <v>229.20177570253537</v>
      </c>
      <c r="F74" s="108">
        <f>IF(LEFT($A$67,5)="blank",0,'Input General'!F103+SUMPRODUCT('Input General'!F104:F107,'Input General'!F131:F134)*'Input Global'!F$22)</f>
        <v>229.70308331962232</v>
      </c>
      <c r="G74" s="108">
        <f>IF(LEFT($A$67,5)="blank",0,'Input General'!G103+SUMPRODUCT('Input General'!G104:G107,'Input General'!G131:G134)*'Input Global'!G$22)</f>
        <v>229.42824191938192</v>
      </c>
      <c r="H74" s="108">
        <f>IF(LEFT($A$67,5)="blank",0,'Input General'!H103+SUMPRODUCT('Input General'!H104:H107,'Input General'!H131:H134)*'Input Global'!H$22)</f>
        <v>230.54162513890296</v>
      </c>
    </row>
    <row r="75" spans="1:16" x14ac:dyDescent="0.3">
      <c r="A75" s="19" t="str">
        <f t="shared" si="7"/>
        <v>Carbon costs</v>
      </c>
      <c r="C75" s="17" t="s">
        <v>55</v>
      </c>
      <c r="D75" s="108">
        <f ca="1">IF(LEFT($A$67,5)="blank",0,VLOOKUP($B$2,'Input General'!$A$280:$H$284,COLUMN(D75),FALSE)*'Input Global'!D$22)</f>
        <v>0</v>
      </c>
      <c r="E75" s="108">
        <f ca="1">IF(LEFT($A$67,5)="blank",0,VLOOKUP($B$2,'Input General'!$A$280:$H$284,COLUMN(E75),FALSE)*'Input Global'!E$22)</f>
        <v>0</v>
      </c>
      <c r="F75" s="108">
        <f ca="1">IF(LEFT($A$67,5)="blank",0,VLOOKUP($B$2,'Input General'!$A$280:$H$284,COLUMN(F75),FALSE)*'Input Global'!F$22)</f>
        <v>10244.597444220091</v>
      </c>
      <c r="G75" s="108">
        <f ca="1">IF(LEFT($A$67,5)="blank",0,VLOOKUP($B$2,'Input General'!$A$280:$H$284,COLUMN(G75),FALSE)*'Input Global'!G$22)</f>
        <v>10471.651605739133</v>
      </c>
      <c r="H75" s="108">
        <f ca="1">IF(LEFT($A$67,5)="blank",0,VLOOKUP($B$2,'Input General'!$A$280:$H$284,COLUMN(H75),FALSE)*'Input Global'!H$22)</f>
        <v>10780.757056167942</v>
      </c>
    </row>
    <row r="76" spans="1:16" x14ac:dyDescent="0.3">
      <c r="A76" s="19" t="str">
        <f t="shared" si="7"/>
        <v>Large Scale Renewable Energy Target</v>
      </c>
      <c r="C76" s="17" t="s">
        <v>55</v>
      </c>
      <c r="D76" s="108">
        <f ca="1">IF(LEFT($A$67,5)="blank",0,VLOOKUP($B$2,'Input General'!$A344:$H348,COLUMN(D76),FALSE)*'Input Global'!D22)</f>
        <v>1207.2319490745772</v>
      </c>
      <c r="E76" s="108">
        <f ca="1">IF(LEFT($A$67,5)="blank",0,VLOOKUP($B$2,'Input General'!$A344:$H348,COLUMN(E76),FALSE)*'Input Global'!E22)</f>
        <v>2070.6471001134769</v>
      </c>
      <c r="F76" s="108">
        <f ca="1">IF(LEFT($A$67,5)="blank",0,VLOOKUP($B$2,'Input General'!$A344:$H348,COLUMN(F76),FALSE)*'Input Global'!F22)</f>
        <v>3031.3917806135009</v>
      </c>
      <c r="G76" s="108">
        <f ca="1">IF(LEFT($A$67,5)="blank",0,VLOOKUP($B$2,'Input General'!$A344:$H348,COLUMN(G76),FALSE)*'Input Global'!G22)</f>
        <v>3165.2888405838162</v>
      </c>
      <c r="H76" s="108">
        <f ca="1">IF(LEFT($A$67,5)="blank",0,VLOOKUP($B$2,'Input General'!$A344:$H348,COLUMN(H76),FALSE)*'Input Global'!H22)</f>
        <v>3286.0192301240681</v>
      </c>
    </row>
    <row r="77" spans="1:16" x14ac:dyDescent="0.3">
      <c r="A77" s="19" t="str">
        <f t="shared" si="7"/>
        <v>Small Scale Renewable Energy Scheme</v>
      </c>
      <c r="C77" s="17" t="s">
        <v>55</v>
      </c>
      <c r="D77" s="108">
        <f ca="1">IF(LEFT($A$67,5)="blank",0,'Input General'!D155*'Input Global'!D$22)</f>
        <v>2085.1764769245315</v>
      </c>
      <c r="E77" s="108">
        <f ca="1">IF(LEFT($A$67,5)="blank",0,'Input General'!E155*'Input Global'!E$22)</f>
        <v>2474.3240707424361</v>
      </c>
      <c r="F77" s="108">
        <f ca="1">IF(LEFT($A$67,5)="blank",0,'Input General'!F155*'Input Global'!F$22)</f>
        <v>1317.9953755290896</v>
      </c>
      <c r="G77" s="108">
        <f ca="1">IF(LEFT($A$67,5)="blank",0,'Input General'!G155*'Input Global'!G$22)</f>
        <v>565.25771446813451</v>
      </c>
      <c r="H77" s="108">
        <f ca="1">IF(LEFT($A$67,5)="blank",0,'Input General'!H155*'Input Global'!H$22)</f>
        <v>481.52387887543739</v>
      </c>
    </row>
    <row r="78" spans="1:16" x14ac:dyDescent="0.3">
      <c r="A78" s="19" t="str">
        <f t="shared" si="7"/>
        <v>Energy Saver Incentive</v>
      </c>
      <c r="C78" s="17" t="s">
        <v>55</v>
      </c>
      <c r="D78" s="108">
        <f ca="1">IF(LEFT($A$67,5)="blank",0,VLOOKUP($B$2,'Input General'!$A$183:$H$187,COLUMN(D78),FALSE)*'Input Global'!D$22)</f>
        <v>1848.2570603249551</v>
      </c>
      <c r="E78" s="108">
        <f ca="1">IF(LEFT($A$67,5)="blank",0,VLOOKUP($B$2,'Input General'!$A$183:$H$187,COLUMN(E78),FALSE)*'Input Global'!E$22)</f>
        <v>1824.2590311018121</v>
      </c>
      <c r="F78" s="108">
        <f ca="1">IF(LEFT($A$67,5)="blank",0,VLOOKUP($B$2,'Input General'!$A$183:$H$187,COLUMN(F78),FALSE)*'Input Global'!F$22)</f>
        <v>1737.9227807159082</v>
      </c>
      <c r="G78" s="108">
        <f ca="1">IF(LEFT($A$67,5)="blank",0,VLOOKUP($B$2,'Input General'!$A$183:$H$187,COLUMN(G78),FALSE)*'Input Global'!G$22)</f>
        <v>1693.5057010159676</v>
      </c>
      <c r="H78" s="108">
        <f ca="1">IF(LEFT($A$67,5)="blank",0,VLOOKUP($B$2,'Input General'!$A$183:$H$187,COLUMN(H78),FALSE)*'Input Global'!H$22)</f>
        <v>1660.2185831154577</v>
      </c>
    </row>
    <row r="79" spans="1:16" x14ac:dyDescent="0.3">
      <c r="A79" s="19" t="str">
        <f t="shared" si="7"/>
        <v>blank</v>
      </c>
      <c r="C79" s="17" t="s">
        <v>55</v>
      </c>
      <c r="D79" s="108">
        <f ca="1">IF(LEFT($A$67,5)="blank",0,VLOOKUP($B$2,'Input General'!$A$215:$H$219,COLUMN(D79),FALSE)*'Input Global'!D$22)</f>
        <v>0</v>
      </c>
      <c r="E79" s="108">
        <f ca="1">IF(LEFT($A$67,5)="blank",0,VLOOKUP($B$2,'Input General'!$A$215:$H$219,COLUMN(E79),FALSE)*'Input Global'!E$22)</f>
        <v>0</v>
      </c>
      <c r="F79" s="108">
        <f ca="1">IF(LEFT($A$67,5)="blank",0,VLOOKUP($B$2,'Input General'!$A$215:$H$219,COLUMN(F79),FALSE)*'Input Global'!F$22)</f>
        <v>0</v>
      </c>
      <c r="G79" s="108">
        <f ca="1">IF(LEFT($A$67,5)="blank",0,VLOOKUP($B$2,'Input General'!$A$215:$H$219,COLUMN(G79),FALSE)*'Input Global'!G$22)</f>
        <v>0</v>
      </c>
      <c r="H79" s="108">
        <f ca="1">IF(LEFT($A$67,5)="blank",0,VLOOKUP($B$2,'Input General'!$A$215:$H$219,COLUMN(H79),FALSE)*'Input Global'!H$22)</f>
        <v>0</v>
      </c>
    </row>
    <row r="80" spans="1:16" x14ac:dyDescent="0.3">
      <c r="A80" s="20" t="s">
        <v>53</v>
      </c>
      <c r="B80" s="20"/>
      <c r="C80" s="20" t="s">
        <v>55</v>
      </c>
      <c r="D80" s="108">
        <f ca="1">SUM(D68:D79)</f>
        <v>42145.035700162487</v>
      </c>
      <c r="E80" s="108">
        <f t="shared" ref="E80:H80" ca="1" si="8">SUM(E68:E79)</f>
        <v>136279.92820638084</v>
      </c>
      <c r="F80" s="108">
        <f t="shared" ca="1" si="8"/>
        <v>149552.82876160566</v>
      </c>
      <c r="G80" s="108">
        <f t="shared" ca="1" si="8"/>
        <v>150643.04651538617</v>
      </c>
      <c r="H80" s="108">
        <f t="shared" ca="1" si="8"/>
        <v>154452.9513784853</v>
      </c>
    </row>
    <row r="81" spans="1:8" x14ac:dyDescent="0.3">
      <c r="D81" s="103"/>
      <c r="E81" s="103"/>
      <c r="F81" s="103"/>
      <c r="G81" s="103"/>
      <c r="H81" s="103"/>
    </row>
    <row r="82" spans="1:8" ht="18.75" x14ac:dyDescent="0.3">
      <c r="A82" s="16" t="s">
        <v>54</v>
      </c>
      <c r="B82" s="16" t="s">
        <v>41</v>
      </c>
      <c r="D82" s="103"/>
      <c r="E82" s="103"/>
      <c r="F82" s="103"/>
      <c r="G82" s="103"/>
      <c r="H82" s="103"/>
    </row>
    <row r="84" spans="1:8" x14ac:dyDescent="0.3">
      <c r="A84" s="18" t="str">
        <f>Dist1</f>
        <v>Citipower</v>
      </c>
    </row>
    <row r="85" spans="1:8" x14ac:dyDescent="0.3">
      <c r="A85" s="97"/>
      <c r="B85" s="97"/>
      <c r="C85" s="97"/>
    </row>
    <row r="86" spans="1:8" x14ac:dyDescent="0.3">
      <c r="A86" s="17" t="str">
        <f t="shared" ref="A86:A96" si="9">A69</f>
        <v>Transmission</v>
      </c>
      <c r="C86" s="17" t="s">
        <v>11</v>
      </c>
      <c r="D86" s="108">
        <f>IF(LEFT($A$84,5)="blank",0,D9/'Input Global'!D$18)</f>
        <v>0</v>
      </c>
      <c r="E86" s="108">
        <f>IF(LEFT($A$84,5)="blank",0,E9/'Input Global'!E$18)</f>
        <v>1.0036378510908099</v>
      </c>
      <c r="F86" s="108">
        <f>IF(LEFT($A$84,5)="blank",0,F9/'Input Global'!F$18)</f>
        <v>1.0270565898303081</v>
      </c>
      <c r="G86" s="108">
        <f>IF(LEFT($A$84,5)="blank",0,G9/'Input Global'!G$18)</f>
        <v>1.051432803745763</v>
      </c>
      <c r="H86" s="108">
        <f>IF(LEFT($A$84,5)="blank",0,H9/'Input Global'!H$18)</f>
        <v>1.0757753652500264</v>
      </c>
    </row>
    <row r="87" spans="1:8" x14ac:dyDescent="0.3">
      <c r="A87" s="17" t="str">
        <f t="shared" si="9"/>
        <v>Distribution</v>
      </c>
      <c r="C87" s="17" t="s">
        <v>11</v>
      </c>
      <c r="D87" s="108">
        <f>IF(LEFT($A$84,5)="blank",0,D10/'Input Global'!D$18)</f>
        <v>0</v>
      </c>
      <c r="E87" s="108">
        <f>IF(LEFT($A$84,5)="blank",0,E10/'Input Global'!E$18)</f>
        <v>6.8538447253772814</v>
      </c>
      <c r="F87" s="108">
        <f>IF(LEFT($A$84,5)="blank",0,F10/'Input Global'!F$18)</f>
        <v>7.6877150734816615</v>
      </c>
      <c r="G87" s="108">
        <f>IF(LEFT($A$84,5)="blank",0,G10/'Input Global'!G$18)</f>
        <v>8.7608109698470322</v>
      </c>
      <c r="H87" s="108">
        <f>IF(LEFT($A$84,5)="blank",0,H10/'Input Global'!H$18)</f>
        <v>9.887034526115178</v>
      </c>
    </row>
    <row r="88" spans="1:8" x14ac:dyDescent="0.3">
      <c r="A88" s="97"/>
      <c r="B88" s="97"/>
      <c r="C88" s="97"/>
    </row>
    <row r="89" spans="1:8" x14ac:dyDescent="0.3">
      <c r="A89" s="17" t="str">
        <f t="shared" si="9"/>
        <v>Retail and Wholesale</v>
      </c>
      <c r="C89" s="17" t="s">
        <v>11</v>
      </c>
      <c r="D89" s="108">
        <f ca="1">IF(LEFT($A$84,5)="blank",0,D12/'Input Global'!D$18)</f>
        <v>6.3719017275711742</v>
      </c>
      <c r="E89" s="108">
        <f ca="1">IF(LEFT($A$84,5)="blank",0,E12/'Input Global'!E$18)</f>
        <v>18.107404734813731</v>
      </c>
      <c r="F89" s="108">
        <f ca="1">IF(LEFT($A$84,5)="blank",0,F12/'Input Global'!F$18)</f>
        <v>16.948834122612851</v>
      </c>
      <c r="G89" s="108">
        <f ca="1">IF(LEFT($A$84,5)="blank",0,G12/'Input Global'!G$18)</f>
        <v>17.867656032717434</v>
      </c>
      <c r="H89" s="108">
        <f ca="1">IF(LEFT($A$84,5)="blank",0,H12/'Input Global'!H$18)</f>
        <v>18.63715733887156</v>
      </c>
    </row>
    <row r="90" spans="1:8" x14ac:dyDescent="0.3">
      <c r="A90" s="17" t="str">
        <f t="shared" si="9"/>
        <v>Green Schemes</v>
      </c>
      <c r="C90" s="17" t="s">
        <v>11</v>
      </c>
      <c r="D90" s="103"/>
      <c r="E90" s="103"/>
      <c r="F90" s="103"/>
      <c r="G90" s="103"/>
      <c r="H90" s="103"/>
    </row>
    <row r="91" spans="1:8" x14ac:dyDescent="0.3">
      <c r="A91" s="19" t="str">
        <f t="shared" si="9"/>
        <v>Feed-in Tariffs</v>
      </c>
      <c r="C91" s="17" t="s">
        <v>11</v>
      </c>
      <c r="D91" s="108">
        <f>IF(LEFT($A$84,5)="blank",0,D14/'Input Global'!D$18)</f>
        <v>0</v>
      </c>
      <c r="E91" s="108">
        <f>IF(LEFT($A$84,5)="blank",0,E14/'Input Global'!E$18)</f>
        <v>6.3084530362979896E-2</v>
      </c>
      <c r="F91" s="108">
        <f>IF(LEFT($A$84,5)="blank",0,F14/'Input Global'!F$18)</f>
        <v>6.5392744002186406E-2</v>
      </c>
      <c r="G91" s="108">
        <f>IF(LEFT($A$84,5)="blank",0,G14/'Input Global'!G$18)</f>
        <v>6.7910661367941841E-2</v>
      </c>
      <c r="H91" s="108">
        <f>IF(LEFT($A$84,5)="blank",0,H14/'Input Global'!H$18)</f>
        <v>7.0318536124230599E-2</v>
      </c>
    </row>
    <row r="92" spans="1:8" x14ac:dyDescent="0.3">
      <c r="A92" s="19" t="str">
        <f t="shared" si="9"/>
        <v>Carbon costs</v>
      </c>
      <c r="C92" s="17" t="s">
        <v>11</v>
      </c>
      <c r="D92" s="108">
        <f ca="1">IF(LEFT($A$84,5)="blank",0,D15/'Input Global'!D$18)</f>
        <v>0</v>
      </c>
      <c r="E92" s="108">
        <f ca="1">IF(LEFT($A$84,5)="blank",0,E15/'Input Global'!E$18)</f>
        <v>0</v>
      </c>
      <c r="F92" s="108">
        <f ca="1">IF(LEFT($A$84,5)="blank",0,F15/'Input Global'!F$18)</f>
        <v>2.2400000000000002</v>
      </c>
      <c r="G92" s="108">
        <f ca="1">IF(LEFT($A$84,5)="blank",0,G15/'Input Global'!G$18)</f>
        <v>2.3498282069763228</v>
      </c>
      <c r="H92" s="108">
        <f ca="1">IF(LEFT($A$84,5)="blank",0,H15/'Input Global'!H$18)</f>
        <v>2.4680829139454188</v>
      </c>
    </row>
    <row r="93" spans="1:8" x14ac:dyDescent="0.3">
      <c r="A93" s="19" t="str">
        <f t="shared" si="9"/>
        <v>Large Scale Renewable Energy Target</v>
      </c>
      <c r="C93" s="17" t="s">
        <v>11</v>
      </c>
      <c r="D93" s="108">
        <f ca="1">IF(LEFT($A$84,5)="blank",0,D16/'Input Global'!D$18)</f>
        <v>0.25473754178777863</v>
      </c>
      <c r="E93" s="108">
        <f ca="1">IF(LEFT($A$84,5)="blank",0,E16/'Input Global'!E$18)</f>
        <v>0.44267417909205159</v>
      </c>
      <c r="F93" s="108">
        <f ca="1">IF(LEFT($A$84,5)="blank",0,F16/'Input Global'!F$18)</f>
        <v>0.6628193665535661</v>
      </c>
      <c r="G93" s="108">
        <f ca="1">IF(LEFT($A$84,5)="blank",0,G16/'Input Global'!G$18)</f>
        <v>0.71024842650382625</v>
      </c>
      <c r="H93" s="108">
        <f ca="1">IF(LEFT($A$84,5)="blank",0,H16/'Input Global'!H$18)</f>
        <v>0.75212223266646072</v>
      </c>
    </row>
    <row r="94" spans="1:8" x14ac:dyDescent="0.3">
      <c r="A94" s="19" t="str">
        <f t="shared" si="9"/>
        <v>Small Scale Renewable Energy Scheme</v>
      </c>
      <c r="C94" s="17" t="s">
        <v>11</v>
      </c>
      <c r="D94" s="108">
        <f ca="1">IF(LEFT($A$84,5)="blank",0,D17/'Input Global'!D$18)</f>
        <v>0.43999227350852893</v>
      </c>
      <c r="E94" s="108">
        <f ca="1">IF(LEFT($A$84,5)="blank",0,E17/'Input Global'!E$18)</f>
        <v>0.52897443353026441</v>
      </c>
      <c r="F94" s="108">
        <f ca="1">IF(LEFT($A$84,5)="blank",0,F17/'Input Global'!F$18)</f>
        <v>0.2881821035194338</v>
      </c>
      <c r="G94" s="108">
        <f ca="1">IF(LEFT($A$84,5)="blank",0,G17/'Input Global'!G$18)</f>
        <v>0.12683626123551275</v>
      </c>
      <c r="H94" s="108">
        <f ca="1">IF(LEFT($A$84,5)="blank",0,H17/'Input Global'!H$18)</f>
        <v>0.11021384523313774</v>
      </c>
    </row>
    <row r="95" spans="1:8" x14ac:dyDescent="0.3">
      <c r="A95" s="19" t="str">
        <f t="shared" si="9"/>
        <v>Energy Saver Incentive</v>
      </c>
      <c r="C95" s="17" t="s">
        <v>11</v>
      </c>
      <c r="D95" s="108">
        <f ca="1">IF(LEFT($A$84,5)="blank",0,D18/'Input Global'!D$18)</f>
        <v>0.39</v>
      </c>
      <c r="E95" s="108">
        <f ca="1">IF(LEFT($A$84,5)="blank",0,E18/'Input Global'!E$18)</f>
        <v>0.39</v>
      </c>
      <c r="F95" s="108">
        <f ca="1">IF(LEFT($A$84,5)="blank",0,F18/'Input Global'!F$18)</f>
        <v>0.38</v>
      </c>
      <c r="G95" s="108">
        <f ca="1">IF(LEFT($A$84,5)="blank",0,G18/'Input Global'!G$18)</f>
        <v>0.38</v>
      </c>
      <c r="H95" s="108">
        <f ca="1">IF(LEFT($A$84,5)="blank",0,H18/'Input Global'!H$18)</f>
        <v>0.38</v>
      </c>
    </row>
    <row r="96" spans="1:8" x14ac:dyDescent="0.3">
      <c r="A96" s="19" t="str">
        <f t="shared" si="9"/>
        <v>blank</v>
      </c>
      <c r="C96" s="17" t="s">
        <v>11</v>
      </c>
      <c r="D96" s="108">
        <f ca="1">IF(LEFT($A$84,5)="blank",0,D19/'Input Global'!D$18)</f>
        <v>0</v>
      </c>
      <c r="E96" s="108">
        <f ca="1">IF(LEFT($A$84,5)="blank",0,E19/'Input Global'!E$18)</f>
        <v>0</v>
      </c>
      <c r="F96" s="108">
        <f ca="1">IF(LEFT($A$84,5)="blank",0,F19/'Input Global'!F$18)</f>
        <v>0</v>
      </c>
      <c r="G96" s="108">
        <f ca="1">IF(LEFT($A$84,5)="blank",0,G19/'Input Global'!G$18)</f>
        <v>0</v>
      </c>
      <c r="H96" s="108">
        <f ca="1">IF(LEFT($A$84,5)="blank",0,H19/'Input Global'!H$18)</f>
        <v>0</v>
      </c>
    </row>
    <row r="97" spans="1:8" x14ac:dyDescent="0.3">
      <c r="A97" s="20" t="s">
        <v>53</v>
      </c>
      <c r="B97" s="20"/>
      <c r="C97" s="20" t="s">
        <v>11</v>
      </c>
      <c r="D97" s="108">
        <f ca="1">SUM(D85:D96)</f>
        <v>7.4566315428674814</v>
      </c>
      <c r="E97" s="108">
        <f t="shared" ref="E97:H97" ca="1" si="10">SUM(E85:E96)</f>
        <v>27.389620454267117</v>
      </c>
      <c r="F97" s="108">
        <f t="shared" ca="1" si="10"/>
        <v>29.300000000000004</v>
      </c>
      <c r="G97" s="108">
        <f t="shared" ca="1" si="10"/>
        <v>31.314723362393838</v>
      </c>
      <c r="H97" s="108">
        <f t="shared" ca="1" si="10"/>
        <v>33.380704758206015</v>
      </c>
    </row>
    <row r="99" spans="1:8" x14ac:dyDescent="0.3">
      <c r="A99" s="18" t="str">
        <f>Dist2</f>
        <v>Powercor</v>
      </c>
    </row>
    <row r="100" spans="1:8" x14ac:dyDescent="0.3">
      <c r="A100" s="97"/>
      <c r="B100" s="97"/>
      <c r="C100" s="97"/>
    </row>
    <row r="101" spans="1:8" x14ac:dyDescent="0.3">
      <c r="A101" s="17" t="str">
        <f t="shared" ref="A101:A111" si="11">A86</f>
        <v>Transmission</v>
      </c>
      <c r="C101" s="17" t="s">
        <v>11</v>
      </c>
      <c r="D101" s="108">
        <f>IF(LEFT($A$99,5)="blank",0,D24/'Input Global'!D$19)</f>
        <v>0</v>
      </c>
      <c r="E101" s="108">
        <f>IF(LEFT($A$99,5)="blank",0,E24/'Input Global'!E$19)</f>
        <v>1.3261051052416393</v>
      </c>
      <c r="F101" s="108">
        <f>IF(LEFT($A$99,5)="blank",0,F24/'Input Global'!F$19)</f>
        <v>1.3597219912972978</v>
      </c>
      <c r="G101" s="108">
        <f>IF(LEFT($A$99,5)="blank",0,G24/'Input Global'!G$19)</f>
        <v>1.395203749889431</v>
      </c>
      <c r="H101" s="108">
        <f>IF(LEFT($A$99,5)="blank",0,H24/'Input Global'!H$19)</f>
        <v>1.4300698070905618</v>
      </c>
    </row>
    <row r="102" spans="1:8" x14ac:dyDescent="0.3">
      <c r="A102" s="17" t="str">
        <f t="shared" si="11"/>
        <v>Distribution</v>
      </c>
      <c r="C102" s="17" t="s">
        <v>11</v>
      </c>
      <c r="D102" s="108">
        <f>IF(LEFT($A$99,5)="blank",0,D25/'Input Global'!D$19)</f>
        <v>0</v>
      </c>
      <c r="E102" s="108">
        <f>IF(LEFT($A$99,5)="blank",0,E25/'Input Global'!E$19)</f>
        <v>8.622202621612157</v>
      </c>
      <c r="F102" s="108">
        <f>IF(LEFT($A$99,5)="blank",0,F25/'Input Global'!F$19)</f>
        <v>9.5391960248663956</v>
      </c>
      <c r="G102" s="108">
        <f>IF(LEFT($A$99,5)="blank",0,G25/'Input Global'!G$19)</f>
        <v>10.577175103515302</v>
      </c>
      <c r="H102" s="108">
        <f>IF(LEFT($A$99,5)="blank",0,H25/'Input Global'!H$19)</f>
        <v>11.66237177113026</v>
      </c>
    </row>
    <row r="103" spans="1:8" x14ac:dyDescent="0.3">
      <c r="A103" s="97"/>
      <c r="B103" s="97"/>
      <c r="C103" s="97"/>
    </row>
    <row r="104" spans="1:8" x14ac:dyDescent="0.3">
      <c r="A104" s="17" t="str">
        <f t="shared" si="11"/>
        <v>Retail and Wholesale</v>
      </c>
      <c r="C104" s="17" t="s">
        <v>11</v>
      </c>
      <c r="D104" s="108">
        <f ca="1">IF(LEFT($A$99,5)="blank",0,D27/'Input Global'!D$19)</f>
        <v>7.3737156102082606</v>
      </c>
      <c r="E104" s="108">
        <f ca="1">IF(LEFT($A$99,5)="blank",0,E27/'Input Global'!E$19)</f>
        <v>18.503179007715648</v>
      </c>
      <c r="F104" s="108">
        <f ca="1">IF(LEFT($A$99,5)="blank",0,F27/'Input Global'!F$19)</f>
        <v>18.550682973467776</v>
      </c>
      <c r="G104" s="108">
        <f ca="1">IF(LEFT($A$99,5)="blank",0,G27/'Input Global'!G$19)</f>
        <v>19.405577259099015</v>
      </c>
      <c r="H104" s="108">
        <f ca="1">IF(LEFT($A$99,5)="blank",0,H27/'Input Global'!H$19)</f>
        <v>20.108802872456412</v>
      </c>
    </row>
    <row r="105" spans="1:8" x14ac:dyDescent="0.3">
      <c r="A105" s="17" t="str">
        <f t="shared" si="11"/>
        <v>Green Schemes</v>
      </c>
      <c r="C105" s="17" t="s">
        <v>11</v>
      </c>
      <c r="D105" s="103"/>
      <c r="E105" s="103"/>
      <c r="F105" s="103"/>
      <c r="G105" s="103"/>
      <c r="H105" s="103"/>
    </row>
    <row r="106" spans="1:8" x14ac:dyDescent="0.3">
      <c r="A106" s="19" t="str">
        <f t="shared" si="11"/>
        <v>Feed-in Tariffs</v>
      </c>
      <c r="C106" s="17" t="s">
        <v>11</v>
      </c>
      <c r="D106" s="108">
        <f>IF(LEFT($A$99,5)="blank",0,D29/'Input Global'!D$19)</f>
        <v>0</v>
      </c>
      <c r="E106" s="108">
        <f>IF(LEFT($A$99,5)="blank",0,E29/'Input Global'!E$19)</f>
        <v>0.31823094852919931</v>
      </c>
      <c r="F106" s="108">
        <f>IF(LEFT($A$99,5)="blank",0,F29/'Input Global'!F$19)</f>
        <v>0.32758737030643331</v>
      </c>
      <c r="G106" s="108">
        <f>IF(LEFT($A$99,5)="blank",0,G29/'Input Global'!G$19)</f>
        <v>0.33746890237339194</v>
      </c>
      <c r="H106" s="108">
        <f>IF(LEFT($A$99,5)="blank",0,H29/'Input Global'!H$19)</f>
        <v>0.34726605604934618</v>
      </c>
    </row>
    <row r="107" spans="1:8" x14ac:dyDescent="0.3">
      <c r="A107" s="19" t="str">
        <f t="shared" si="11"/>
        <v>Carbon costs</v>
      </c>
      <c r="C107" s="17" t="s">
        <v>11</v>
      </c>
      <c r="D107" s="108">
        <f ca="1">IF(LEFT($A$99,5)="blank",0,D30/'Input Global'!D$19)</f>
        <v>0</v>
      </c>
      <c r="E107" s="108">
        <f ca="1">IF(LEFT($A$99,5)="blank",0,E30/'Input Global'!E$19)</f>
        <v>0</v>
      </c>
      <c r="F107" s="108">
        <f ca="1">IF(LEFT($A$99,5)="blank",0,F30/'Input Global'!F$19)</f>
        <v>2.2400000000000002</v>
      </c>
      <c r="G107" s="108">
        <f ca="1">IF(LEFT($A$99,5)="blank",0,G30/'Input Global'!G$19)</f>
        <v>2.3502049643771574</v>
      </c>
      <c r="H107" s="108">
        <f ca="1">IF(LEFT($A$99,5)="blank",0,H30/'Input Global'!H$19)</f>
        <v>2.5940942161921114</v>
      </c>
    </row>
    <row r="108" spans="1:8" x14ac:dyDescent="0.3">
      <c r="A108" s="19" t="str">
        <f t="shared" si="11"/>
        <v>Large Scale Renewable Energy Target</v>
      </c>
      <c r="C108" s="17" t="s">
        <v>11</v>
      </c>
      <c r="D108" s="108">
        <f ca="1">IF(LEFT($A$99,5)="blank",0,D31/'Input Global'!D$19)</f>
        <v>0.25473754178777863</v>
      </c>
      <c r="E108" s="108">
        <f ca="1">IF(LEFT($A$99,5)="blank",0,E31/'Input Global'!E$19)</f>
        <v>0.44267417909205159</v>
      </c>
      <c r="F108" s="108">
        <f ca="1">IF(LEFT($A$99,5)="blank",0,F31/'Input Global'!F$19)</f>
        <v>0.6628193665535661</v>
      </c>
      <c r="G108" s="108">
        <f ca="1">IF(LEFT($A$99,5)="blank",0,G31/'Input Global'!G$19)</f>
        <v>0.71024842650382625</v>
      </c>
      <c r="H108" s="108">
        <f ca="1">IF(LEFT($A$99,5)="blank",0,H31/'Input Global'!H$19)</f>
        <v>0.75212223266646072</v>
      </c>
    </row>
    <row r="109" spans="1:8" x14ac:dyDescent="0.3">
      <c r="A109" s="19" t="str">
        <f t="shared" si="11"/>
        <v>Small Scale Renewable Energy Scheme</v>
      </c>
      <c r="C109" s="17" t="s">
        <v>11</v>
      </c>
      <c r="D109" s="108">
        <f ca="1">IF(LEFT($A$99,5)="blank",0,D32/'Input Global'!D$19)</f>
        <v>0.43999227350852893</v>
      </c>
      <c r="E109" s="108">
        <f ca="1">IF(LEFT($A$99,5)="blank",0,E32/'Input Global'!E$19)</f>
        <v>0.43999227350852893</v>
      </c>
      <c r="F109" s="108">
        <f ca="1">IF(LEFT($A$99,5)="blank",0,F32/'Input Global'!F$19)</f>
        <v>0.43999227350852893</v>
      </c>
      <c r="G109" s="108">
        <f ca="1">IF(LEFT($A$99,5)="blank",0,G32/'Input Global'!G$19)</f>
        <v>0.19365177178870679</v>
      </c>
      <c r="H109" s="108">
        <f ca="1">IF(LEFT($A$99,5)="blank",0,H32/'Input Global'!H$19)</f>
        <v>0.16827290710984494</v>
      </c>
    </row>
    <row r="110" spans="1:8" x14ac:dyDescent="0.3">
      <c r="A110" s="19" t="str">
        <f t="shared" si="11"/>
        <v>Energy Saver Incentive</v>
      </c>
      <c r="C110" s="17" t="s">
        <v>11</v>
      </c>
      <c r="D110" s="108">
        <f ca="1">IF(LEFT($A$99,5)="blank",0,D33/'Input Global'!D$19)</f>
        <v>0.39</v>
      </c>
      <c r="E110" s="108">
        <f ca="1">IF(LEFT($A$99,5)="blank",0,E33/'Input Global'!E$19)</f>
        <v>0.39</v>
      </c>
      <c r="F110" s="108">
        <f ca="1">IF(LEFT($A$99,5)="blank",0,F33/'Input Global'!F$19)</f>
        <v>0.38</v>
      </c>
      <c r="G110" s="108">
        <f ca="1">IF(LEFT($A$99,5)="blank",0,G33/'Input Global'!G$19)</f>
        <v>0.38</v>
      </c>
      <c r="H110" s="108">
        <f ca="1">IF(LEFT($A$99,5)="blank",0,H33/'Input Global'!H$19)</f>
        <v>0.38</v>
      </c>
    </row>
    <row r="111" spans="1:8" x14ac:dyDescent="0.3">
      <c r="A111" s="19" t="str">
        <f t="shared" si="11"/>
        <v>blank</v>
      </c>
      <c r="C111" s="17" t="s">
        <v>11</v>
      </c>
      <c r="D111" s="108">
        <f ca="1">IF(LEFT($A$99,5)="blank",0,D34/'Input Global'!D$19)</f>
        <v>0</v>
      </c>
      <c r="E111" s="108">
        <f ca="1">IF(LEFT($A$99,5)="blank",0,E34/'Input Global'!E$19)</f>
        <v>0</v>
      </c>
      <c r="F111" s="108">
        <f ca="1">IF(LEFT($A$99,5)="blank",0,F34/'Input Global'!F$19)</f>
        <v>0</v>
      </c>
      <c r="G111" s="108">
        <f ca="1">IF(LEFT($A$99,5)="blank",0,G34/'Input Global'!G$19)</f>
        <v>0</v>
      </c>
      <c r="H111" s="108">
        <f ca="1">IF(LEFT($A$99,5)="blank",0,H34/'Input Global'!H$19)</f>
        <v>0</v>
      </c>
    </row>
    <row r="112" spans="1:8" x14ac:dyDescent="0.3">
      <c r="A112" s="20" t="s">
        <v>53</v>
      </c>
      <c r="B112" s="20"/>
      <c r="C112" s="20" t="s">
        <v>11</v>
      </c>
      <c r="D112" s="108">
        <f ca="1">SUM(D100:D111)</f>
        <v>8.4584454255045696</v>
      </c>
      <c r="E112" s="108">
        <f t="shared" ref="E112:H112" ca="1" si="12">SUM(E100:E111)</f>
        <v>30.042384135699223</v>
      </c>
      <c r="F112" s="108">
        <f t="shared" ca="1" si="12"/>
        <v>33.5</v>
      </c>
      <c r="G112" s="108">
        <f t="shared" ca="1" si="12"/>
        <v>35.349530177546832</v>
      </c>
      <c r="H112" s="108">
        <f t="shared" ca="1" si="12"/>
        <v>37.442999862695004</v>
      </c>
    </row>
    <row r="114" spans="1:8" x14ac:dyDescent="0.3">
      <c r="A114" s="18" t="str">
        <f>Dist3</f>
        <v>SP Ausnet</v>
      </c>
    </row>
    <row r="115" spans="1:8" x14ac:dyDescent="0.3">
      <c r="A115" s="97"/>
      <c r="B115" s="97"/>
      <c r="C115" s="97"/>
    </row>
    <row r="116" spans="1:8" x14ac:dyDescent="0.3">
      <c r="A116" s="17" t="str">
        <f t="shared" ref="A116:A126" si="13">A101</f>
        <v>Transmission</v>
      </c>
      <c r="C116" s="17" t="s">
        <v>11</v>
      </c>
      <c r="D116" s="108">
        <f>IF(LEFT($A$114,5)="blank",0,D39/'Input Global'!D$20)</f>
        <v>0</v>
      </c>
      <c r="E116" s="108">
        <f>IF(LEFT($A$114,5)="blank",0,E39/'Input Global'!E$20)</f>
        <v>1.0787836959432828</v>
      </c>
      <c r="F116" s="108">
        <f>IF(LEFT($A$114,5)="blank",0,F39/'Input Global'!F$20)</f>
        <v>1.1015003910790115</v>
      </c>
      <c r="G116" s="108">
        <f>IF(LEFT($A$114,5)="blank",0,G39/'Input Global'!G$20)</f>
        <v>1.1246954473911559</v>
      </c>
      <c r="H116" s="108">
        <f>IF(LEFT($A$114,5)="blank",0,H39/'Input Global'!H$20)</f>
        <v>1.1483789380621812</v>
      </c>
    </row>
    <row r="117" spans="1:8" x14ac:dyDescent="0.3">
      <c r="A117" s="17" t="str">
        <f t="shared" si="13"/>
        <v>Distribution</v>
      </c>
      <c r="C117" s="17" t="s">
        <v>11</v>
      </c>
      <c r="D117" s="108">
        <f>IF(LEFT($A$114,5)="blank",0,D40/'Input Global'!D$20)</f>
        <v>0</v>
      </c>
      <c r="E117" s="108">
        <f>IF(LEFT($A$114,5)="blank",0,E40/'Input Global'!E$20)</f>
        <v>9.2278146998124573</v>
      </c>
      <c r="F117" s="108">
        <f>IF(LEFT($A$114,5)="blank",0,F40/'Input Global'!F$20)</f>
        <v>10.243241998203711</v>
      </c>
      <c r="G117" s="108">
        <f>IF(LEFT($A$114,5)="blank",0,G40/'Input Global'!G$20)</f>
        <v>11.514049686174685</v>
      </c>
      <c r="H117" s="108">
        <f>IF(LEFT($A$114,5)="blank",0,H40/'Input Global'!H$20)</f>
        <v>12.900784361842325</v>
      </c>
    </row>
    <row r="118" spans="1:8" x14ac:dyDescent="0.3">
      <c r="A118" s="97"/>
      <c r="B118" s="97"/>
      <c r="C118" s="97"/>
    </row>
    <row r="119" spans="1:8" x14ac:dyDescent="0.3">
      <c r="A119" s="17" t="str">
        <f t="shared" si="13"/>
        <v>Retail and Wholesale</v>
      </c>
      <c r="C119" s="17" t="s">
        <v>11</v>
      </c>
      <c r="D119" s="108">
        <f ca="1">IF(LEFT($A$114,5)="blank",0,D42/'Input Global'!D$20)</f>
        <v>7.871243079051883</v>
      </c>
      <c r="E119" s="108">
        <f ca="1">IF(LEFT($A$114,5)="blank",0,E42/'Input Global'!E$20)</f>
        <v>17.222002545453087</v>
      </c>
      <c r="F119" s="108">
        <f ca="1">IF(LEFT($A$114,5)="blank",0,F42/'Input Global'!F$20)</f>
        <v>16.663201608676292</v>
      </c>
      <c r="G119" s="108">
        <f ca="1">IF(LEFT($A$114,5)="blank",0,G42/'Input Global'!G$20)</f>
        <v>17.828959205903939</v>
      </c>
      <c r="H119" s="108">
        <f ca="1">IF(LEFT($A$114,5)="blank",0,H42/'Input Global'!H$20)</f>
        <v>18.605176837064889</v>
      </c>
    </row>
    <row r="120" spans="1:8" x14ac:dyDescent="0.3">
      <c r="A120" s="17" t="str">
        <f t="shared" si="13"/>
        <v>Green Schemes</v>
      </c>
      <c r="C120" s="17" t="s">
        <v>11</v>
      </c>
      <c r="D120" s="103"/>
      <c r="E120" s="103"/>
      <c r="F120" s="103"/>
      <c r="G120" s="103"/>
      <c r="H120" s="103"/>
    </row>
    <row r="121" spans="1:8" x14ac:dyDescent="0.3">
      <c r="A121" s="19" t="str">
        <f t="shared" si="13"/>
        <v>Feed-in Tariffs</v>
      </c>
      <c r="C121" s="17" t="s">
        <v>11</v>
      </c>
      <c r="D121" s="108">
        <f>IF(LEFT($A$114,5)="blank",0,D44/'Input Global'!D$20)</f>
        <v>0</v>
      </c>
      <c r="E121" s="108">
        <f>IF(LEFT($A$114,5)="blank",0,E44/'Input Global'!E$20)</f>
        <v>0.21444635730876013</v>
      </c>
      <c r="F121" s="108">
        <f>IF(LEFT($A$114,5)="blank",0,F44/'Input Global'!F$20)</f>
        <v>0.22105453196797845</v>
      </c>
      <c r="G121" s="108">
        <f>IF(LEFT($A$114,5)="blank",0,G44/'Input Global'!G$20)</f>
        <v>0.2280871700261681</v>
      </c>
      <c r="H121" s="108">
        <f>IF(LEFT($A$114,5)="blank",0,H44/'Input Global'!H$20)</f>
        <v>0.2350005593165477</v>
      </c>
    </row>
    <row r="122" spans="1:8" x14ac:dyDescent="0.3">
      <c r="A122" s="19" t="str">
        <f t="shared" si="13"/>
        <v>Carbon costs</v>
      </c>
      <c r="C122" s="17" t="s">
        <v>11</v>
      </c>
      <c r="D122" s="108">
        <f ca="1">IF(LEFT($A$114,5)="blank",0,D45/'Input Global'!D$20)</f>
        <v>0</v>
      </c>
      <c r="E122" s="108">
        <f ca="1">IF(LEFT($A$114,5)="blank",0,E45/'Input Global'!E$20)</f>
        <v>0</v>
      </c>
      <c r="F122" s="108">
        <f ca="1">IF(LEFT($A$114,5)="blank",0,F45/'Input Global'!F$20)</f>
        <v>2.2400000000000002</v>
      </c>
      <c r="G122" s="108">
        <f ca="1">IF(LEFT($A$114,5)="blank",0,G45/'Input Global'!G$20)</f>
        <v>2.3501327077706327</v>
      </c>
      <c r="H122" s="108">
        <f ca="1">IF(LEFT($A$114,5)="blank",0,H45/'Input Global'!H$20)</f>
        <v>2.4688114502256324</v>
      </c>
    </row>
    <row r="123" spans="1:8" x14ac:dyDescent="0.3">
      <c r="A123" s="19" t="str">
        <f t="shared" si="13"/>
        <v>Large Scale Renewable Energy Target</v>
      </c>
      <c r="C123" s="17" t="s">
        <v>11</v>
      </c>
      <c r="D123" s="108">
        <f ca="1">IF(LEFT($A$114,5)="blank",0,D46/'Input Global'!D$20)</f>
        <v>0.25473754178777863</v>
      </c>
      <c r="E123" s="108">
        <f ca="1">IF(LEFT($A$114,5)="blank",0,E46/'Input Global'!E$20)</f>
        <v>0.44267417909205159</v>
      </c>
      <c r="F123" s="108">
        <f ca="1">IF(LEFT($A$114,5)="blank",0,F46/'Input Global'!F$20)</f>
        <v>0.6628193665535661</v>
      </c>
      <c r="G123" s="108">
        <f ca="1">IF(LEFT($A$114,5)="blank",0,G46/'Input Global'!G$20)</f>
        <v>0.71024842650382625</v>
      </c>
      <c r="H123" s="108">
        <f ca="1">IF(LEFT($A$114,5)="blank",0,H46/'Input Global'!H$20)</f>
        <v>0.75212223266646072</v>
      </c>
    </row>
    <row r="124" spans="1:8" x14ac:dyDescent="0.3">
      <c r="A124" s="19" t="str">
        <f t="shared" si="13"/>
        <v>Small Scale Renewable Energy Scheme</v>
      </c>
      <c r="C124" s="17" t="s">
        <v>11</v>
      </c>
      <c r="D124" s="108">
        <f ca="1">IF(LEFT($A$114,5)="blank",0,D47/'Input Global'!D$20)</f>
        <v>0.43999227350852893</v>
      </c>
      <c r="E124" s="108">
        <f ca="1">IF(LEFT($A$114,5)="blank",0,E47/'Input Global'!E$20)</f>
        <v>0.52897443353026441</v>
      </c>
      <c r="F124" s="108">
        <f ca="1">IF(LEFT($A$114,5)="blank",0,F47/'Input Global'!F$20)</f>
        <v>0.2881821035194338</v>
      </c>
      <c r="G124" s="108">
        <f ca="1">IF(LEFT($A$114,5)="blank",0,G47/'Input Global'!G$20)</f>
        <v>0.12683626123551256</v>
      </c>
      <c r="H124" s="108">
        <f ca="1">IF(LEFT($A$114,5)="blank",0,H47/'Input Global'!H$20)</f>
        <v>0.11021384523313771</v>
      </c>
    </row>
    <row r="125" spans="1:8" x14ac:dyDescent="0.3">
      <c r="A125" s="19" t="str">
        <f t="shared" si="13"/>
        <v>Energy Saver Incentive</v>
      </c>
      <c r="C125" s="17" t="s">
        <v>11</v>
      </c>
      <c r="D125" s="108">
        <f ca="1">IF(LEFT($A$114,5)="blank",0,D48/'Input Global'!D$20)</f>
        <v>0.39</v>
      </c>
      <c r="E125" s="108">
        <f ca="1">IF(LEFT($A$114,5)="blank",0,E48/'Input Global'!E$20)</f>
        <v>0.39</v>
      </c>
      <c r="F125" s="108">
        <f ca="1">IF(LEFT($A$114,5)="blank",0,F48/'Input Global'!F$20)</f>
        <v>0.38</v>
      </c>
      <c r="G125" s="108">
        <f ca="1">IF(LEFT($A$114,5)="blank",0,G48/'Input Global'!G$20)</f>
        <v>0.38</v>
      </c>
      <c r="H125" s="108">
        <f ca="1">IF(LEFT($A$114,5)="blank",0,H48/'Input Global'!H$20)</f>
        <v>0.38</v>
      </c>
    </row>
    <row r="126" spans="1:8" x14ac:dyDescent="0.3">
      <c r="A126" s="19" t="str">
        <f t="shared" si="13"/>
        <v>blank</v>
      </c>
      <c r="C126" s="17" t="s">
        <v>11</v>
      </c>
      <c r="D126" s="108">
        <f ca="1">IF(LEFT($A$114,5)="blank",0,D49/'Input Global'!D$20)</f>
        <v>0</v>
      </c>
      <c r="E126" s="108">
        <f ca="1">IF(LEFT($A$114,5)="blank",0,E49/'Input Global'!E$20)</f>
        <v>0</v>
      </c>
      <c r="F126" s="108">
        <f ca="1">IF(LEFT($A$114,5)="blank",0,F49/'Input Global'!F$20)</f>
        <v>0</v>
      </c>
      <c r="G126" s="108">
        <f ca="1">IF(LEFT($A$114,5)="blank",0,G49/'Input Global'!G$20)</f>
        <v>0</v>
      </c>
      <c r="H126" s="108">
        <f ca="1">IF(LEFT($A$114,5)="blank",0,H49/'Input Global'!H$20)</f>
        <v>0</v>
      </c>
    </row>
    <row r="127" spans="1:8" x14ac:dyDescent="0.3">
      <c r="A127" s="20" t="s">
        <v>53</v>
      </c>
      <c r="B127" s="20"/>
      <c r="C127" s="20" t="s">
        <v>11</v>
      </c>
      <c r="D127" s="108">
        <f ca="1">SUM(D115:D126)</f>
        <v>8.9559728943481929</v>
      </c>
      <c r="E127" s="108">
        <f t="shared" ref="E127:H127" ca="1" si="14">SUM(E115:E126)</f>
        <v>29.104695911139906</v>
      </c>
      <c r="F127" s="108">
        <f t="shared" ca="1" si="14"/>
        <v>31.79999999999999</v>
      </c>
      <c r="G127" s="108">
        <f t="shared" ca="1" si="14"/>
        <v>34.263008905005918</v>
      </c>
      <c r="H127" s="108">
        <f t="shared" ca="1" si="14"/>
        <v>36.600488224411173</v>
      </c>
    </row>
    <row r="129" spans="1:8" x14ac:dyDescent="0.3">
      <c r="A129" s="18" t="str">
        <f>Dist4</f>
        <v>United</v>
      </c>
    </row>
    <row r="130" spans="1:8" x14ac:dyDescent="0.3">
      <c r="A130" s="97"/>
      <c r="B130" s="97"/>
      <c r="C130" s="97"/>
    </row>
    <row r="131" spans="1:8" x14ac:dyDescent="0.3">
      <c r="A131" s="17" t="str">
        <f t="shared" ref="A131:A141" si="15">A116</f>
        <v>Transmission</v>
      </c>
      <c r="C131" s="17" t="s">
        <v>11</v>
      </c>
      <c r="D131" s="108">
        <f>IF(LEFT($A$129,5)="blank",0,D54/'Input Global'!D$21)</f>
        <v>0</v>
      </c>
      <c r="E131" s="108">
        <f>IF(LEFT($A$129,5)="blank",0,E54/'Input Global'!E$21)</f>
        <v>1.6561700596466677</v>
      </c>
      <c r="F131" s="108">
        <f>IF(LEFT($A$129,5)="blank",0,F54/'Input Global'!F$21)</f>
        <v>1.6910451791719194</v>
      </c>
      <c r="G131" s="108">
        <f>IF(LEFT($A$129,5)="blank",0,G54/'Input Global'!G$21)</f>
        <v>1.7266546882333278</v>
      </c>
      <c r="H131" s="108">
        <f>IF(LEFT($A$129,5)="blank",0,H54/'Input Global'!H$21)</f>
        <v>1.7630140513797794</v>
      </c>
    </row>
    <row r="132" spans="1:8" x14ac:dyDescent="0.3">
      <c r="A132" s="17" t="str">
        <f t="shared" si="15"/>
        <v>Distribution</v>
      </c>
      <c r="C132" s="17" t="s">
        <v>11</v>
      </c>
      <c r="D132" s="108">
        <f>IF(LEFT($A$129,5)="blank",0,D55/'Input Global'!D$21)</f>
        <v>0</v>
      </c>
      <c r="E132" s="108">
        <f>IF(LEFT($A$129,5)="blank",0,E55/'Input Global'!E$21)</f>
        <v>7.8178721046633237</v>
      </c>
      <c r="F132" s="108">
        <f>IF(LEFT($A$129,5)="blank",0,F55/'Input Global'!F$21)</f>
        <v>8.7512934004952605</v>
      </c>
      <c r="G132" s="108">
        <f>IF(LEFT($A$129,5)="blank",0,G55/'Input Global'!G$21)</f>
        <v>10.104781774798054</v>
      </c>
      <c r="H132" s="108">
        <f>IF(LEFT($A$129,5)="blank",0,H55/'Input Global'!H$21)</f>
        <v>11.630326020023276</v>
      </c>
    </row>
    <row r="133" spans="1:8" x14ac:dyDescent="0.3">
      <c r="A133" s="97"/>
      <c r="B133" s="97"/>
      <c r="C133" s="97"/>
    </row>
    <row r="134" spans="1:8" x14ac:dyDescent="0.3">
      <c r="A134" s="17" t="str">
        <f t="shared" si="15"/>
        <v>Retail and Wholesale</v>
      </c>
      <c r="C134" s="17" t="s">
        <v>11</v>
      </c>
      <c r="D134" s="108">
        <f ca="1">IF(LEFT($A$129,5)="blank",0,D57/'Input Global'!D$21)</f>
        <v>7.9244250313030822</v>
      </c>
      <c r="E134" s="108">
        <f ca="1">IF(LEFT($A$129,5)="blank",0,E57/'Input Global'!E$21)</f>
        <v>16.66593869433494</v>
      </c>
      <c r="F134" s="108">
        <f ca="1">IF(LEFT($A$129,5)="blank",0,F57/'Input Global'!F$21)</f>
        <v>16.524894287038475</v>
      </c>
      <c r="G134" s="108">
        <f ca="1">IF(LEFT($A$129,5)="blank",0,G57/'Input Global'!G$21)</f>
        <v>17.4185391654071</v>
      </c>
      <c r="H134" s="108">
        <f ca="1">IF(LEFT($A$129,5)="blank",0,H57/'Input Global'!H$21)</f>
        <v>18.156421440173972</v>
      </c>
    </row>
    <row r="135" spans="1:8" x14ac:dyDescent="0.3">
      <c r="A135" s="17" t="str">
        <f t="shared" si="15"/>
        <v>Green Schemes</v>
      </c>
      <c r="C135" s="17" t="s">
        <v>11</v>
      </c>
      <c r="D135" s="103"/>
      <c r="E135" s="103"/>
      <c r="F135" s="103"/>
      <c r="G135" s="103"/>
      <c r="H135" s="103"/>
    </row>
    <row r="136" spans="1:8" x14ac:dyDescent="0.3">
      <c r="A136" s="19" t="str">
        <f t="shared" si="15"/>
        <v>Feed-in Tariffs</v>
      </c>
      <c r="C136" s="17" t="s">
        <v>11</v>
      </c>
      <c r="D136" s="108">
        <f>IF(LEFT($A$129,5)="blank",0,D59/'Input Global'!D$21)</f>
        <v>0</v>
      </c>
      <c r="E136" s="108">
        <f>IF(LEFT($A$129,5)="blank",0,E59/'Input Global'!E$21)</f>
        <v>0.15430765050398682</v>
      </c>
      <c r="F136" s="108">
        <f>IF(LEFT($A$129,5)="blank",0,F59/'Input Global'!F$21)</f>
        <v>0.161765663221349</v>
      </c>
      <c r="G136" s="108">
        <f>IF(LEFT($A$129,5)="blank",0,G59/'Input Global'!G$21)</f>
        <v>0.17015864597230129</v>
      </c>
      <c r="H136" s="108">
        <f>IF(LEFT($A$129,5)="blank",0,H59/'Input Global'!H$21)</f>
        <v>0.17790955718780202</v>
      </c>
    </row>
    <row r="137" spans="1:8" x14ac:dyDescent="0.3">
      <c r="A137" s="19" t="str">
        <f t="shared" si="15"/>
        <v>Carbon costs</v>
      </c>
      <c r="C137" s="17" t="s">
        <v>11</v>
      </c>
      <c r="D137" s="108">
        <f ca="1">IF(LEFT($A$129,5)="blank",0,D60/'Input Global'!D$21)</f>
        <v>0</v>
      </c>
      <c r="E137" s="108">
        <f ca="1">IF(LEFT($A$129,5)="blank",0,E60/'Input Global'!E$21)</f>
        <v>0</v>
      </c>
      <c r="F137" s="108">
        <f ca="1">IF(LEFT($A$129,5)="blank",0,F60/'Input Global'!F$21)</f>
        <v>2.2400000000000002</v>
      </c>
      <c r="G137" s="108">
        <f ca="1">IF(LEFT($A$129,5)="blank",0,G60/'Input Global'!G$21)</f>
        <v>2.3497643165747153</v>
      </c>
      <c r="H137" s="108">
        <f ca="1">IF(LEFT($A$129,5)="blank",0,H60/'Input Global'!H$21)</f>
        <v>2.4678670468694643</v>
      </c>
    </row>
    <row r="138" spans="1:8" x14ac:dyDescent="0.3">
      <c r="A138" s="19" t="str">
        <f t="shared" si="15"/>
        <v>Large Scale Renewable Energy Target</v>
      </c>
      <c r="C138" s="17" t="s">
        <v>11</v>
      </c>
      <c r="D138" s="108">
        <f ca="1">IF(LEFT($A$129,5)="blank",0,D61/'Input Global'!D$21)</f>
        <v>0.25473754178777863</v>
      </c>
      <c r="E138" s="108">
        <f ca="1">IF(LEFT($A$129,5)="blank",0,E61/'Input Global'!E$21)</f>
        <v>0.44267417909205159</v>
      </c>
      <c r="F138" s="108">
        <f ca="1">IF(LEFT($A$129,5)="blank",0,F61/'Input Global'!F$21)</f>
        <v>0.6628193665535661</v>
      </c>
      <c r="G138" s="108">
        <f ca="1">IF(LEFT($A$129,5)="blank",0,G61/'Input Global'!G$21)</f>
        <v>0.71024842650382625</v>
      </c>
      <c r="H138" s="108">
        <f ca="1">IF(LEFT($A$129,5)="blank",0,H61/'Input Global'!H$21)</f>
        <v>0.75212223266646072</v>
      </c>
    </row>
    <row r="139" spans="1:8" x14ac:dyDescent="0.3">
      <c r="A139" s="19" t="str">
        <f t="shared" si="15"/>
        <v>Small Scale Renewable Energy Scheme</v>
      </c>
      <c r="C139" s="17" t="s">
        <v>11</v>
      </c>
      <c r="D139" s="108">
        <f ca="1">IF(LEFT($A$129,5)="blank",0,D62/'Input Global'!D$21)</f>
        <v>0.43999227350852893</v>
      </c>
      <c r="E139" s="108">
        <f ca="1">IF(LEFT($A$129,5)="blank",0,E62/'Input Global'!E$21)</f>
        <v>0.52897443353026441</v>
      </c>
      <c r="F139" s="108">
        <f ca="1">IF(LEFT($A$129,5)="blank",0,F62/'Input Global'!F$21)</f>
        <v>0.2881821035194338</v>
      </c>
      <c r="G139" s="108">
        <f ca="1">IF(LEFT($A$129,5)="blank",0,G62/'Input Global'!G$21)</f>
        <v>0.12683626123551256</v>
      </c>
      <c r="H139" s="108">
        <f ca="1">IF(LEFT($A$129,5)="blank",0,H62/'Input Global'!H$21)</f>
        <v>0.11021384523313771</v>
      </c>
    </row>
    <row r="140" spans="1:8" x14ac:dyDescent="0.3">
      <c r="A140" s="19" t="str">
        <f t="shared" si="15"/>
        <v>Energy Saver Incentive</v>
      </c>
      <c r="C140" s="17" t="s">
        <v>11</v>
      </c>
      <c r="D140" s="108">
        <f ca="1">IF(LEFT($A$129,5)="blank",0,D63/'Input Global'!D$21)</f>
        <v>0.39</v>
      </c>
      <c r="E140" s="108">
        <f ca="1">IF(LEFT($A$129,5)="blank",0,E63/'Input Global'!E$21)</f>
        <v>0.39</v>
      </c>
      <c r="F140" s="108">
        <f ca="1">IF(LEFT($A$129,5)="blank",0,F63/'Input Global'!F$21)</f>
        <v>0.38</v>
      </c>
      <c r="G140" s="108">
        <f ca="1">IF(LEFT($A$129,5)="blank",0,G63/'Input Global'!G$21)</f>
        <v>0.38</v>
      </c>
      <c r="H140" s="108">
        <f ca="1">IF(LEFT($A$129,5)="blank",0,H63/'Input Global'!H$21)</f>
        <v>0.38</v>
      </c>
    </row>
    <row r="141" spans="1:8" x14ac:dyDescent="0.3">
      <c r="A141" s="19" t="str">
        <f t="shared" si="15"/>
        <v>blank</v>
      </c>
      <c r="C141" s="17" t="s">
        <v>11</v>
      </c>
      <c r="D141" s="108">
        <f ca="1">IF(LEFT($A$129,5)="blank",0,D64/'Input Global'!D$21)</f>
        <v>0</v>
      </c>
      <c r="E141" s="108">
        <f ca="1">IF(LEFT($A$129,5)="blank",0,E64/'Input Global'!E$21)</f>
        <v>0</v>
      </c>
      <c r="F141" s="108">
        <f ca="1">IF(LEFT($A$129,5)="blank",0,F64/'Input Global'!F$21)</f>
        <v>0</v>
      </c>
      <c r="G141" s="108">
        <f ca="1">IF(LEFT($A$129,5)="blank",0,G64/'Input Global'!G$21)</f>
        <v>0</v>
      </c>
      <c r="H141" s="108">
        <f ca="1">IF(LEFT($A$129,5)="blank",0,H64/'Input Global'!H$21)</f>
        <v>0</v>
      </c>
    </row>
    <row r="142" spans="1:8" x14ac:dyDescent="0.3">
      <c r="A142" s="20" t="s">
        <v>53</v>
      </c>
      <c r="B142" s="20"/>
      <c r="C142" s="20" t="s">
        <v>11</v>
      </c>
      <c r="D142" s="108">
        <f ca="1">SUM(D130:D141)</f>
        <v>9.0091548465993903</v>
      </c>
      <c r="E142" s="108">
        <f t="shared" ref="E142:H142" ca="1" si="16">SUM(E130:E141)</f>
        <v>27.655937121771238</v>
      </c>
      <c r="F142" s="108">
        <f t="shared" ca="1" si="16"/>
        <v>30.700000000000003</v>
      </c>
      <c r="G142" s="108">
        <f t="shared" ca="1" si="16"/>
        <v>32.986983278724836</v>
      </c>
      <c r="H142" s="108">
        <f t="shared" ca="1" si="16"/>
        <v>35.437874193533894</v>
      </c>
    </row>
    <row r="144" spans="1:8" x14ac:dyDescent="0.3">
      <c r="A144" s="18" t="str">
        <f>Dist5</f>
        <v>Jemena</v>
      </c>
    </row>
    <row r="145" spans="1:8" x14ac:dyDescent="0.3">
      <c r="A145" s="97"/>
      <c r="B145" s="97"/>
      <c r="C145" s="97"/>
    </row>
    <row r="146" spans="1:8" x14ac:dyDescent="0.3">
      <c r="A146" s="17" t="str">
        <f t="shared" ref="A146:A156" si="17">A131</f>
        <v>Transmission</v>
      </c>
      <c r="C146" s="17" t="s">
        <v>11</v>
      </c>
      <c r="D146" s="108">
        <f>IF(LEFT($A$144,5)="blank",0,D69/'Input Global'!D$22)</f>
        <v>0</v>
      </c>
      <c r="E146" s="108">
        <f>IF(LEFT($A$144,5)="blank",0,E69/'Input Global'!E$22)</f>
        <v>1.0040285135037108</v>
      </c>
      <c r="F146" s="108">
        <f>IF(LEFT($A$144,5)="blank",0,F69/'Input Global'!F$22)</f>
        <v>1.0268033134482082</v>
      </c>
      <c r="G146" s="108">
        <f>IF(LEFT($A$144,5)="blank",0,G69/'Input Global'!G$22)</f>
        <v>1.0503894710336108</v>
      </c>
      <c r="H146" s="108">
        <f>IF(LEFT($A$144,5)="blank",0,H69/'Input Global'!H$22)</f>
        <v>1.074081486041951</v>
      </c>
    </row>
    <row r="147" spans="1:8" x14ac:dyDescent="0.3">
      <c r="A147" s="17" t="str">
        <f t="shared" si="17"/>
        <v>Distribution</v>
      </c>
      <c r="C147" s="17" t="s">
        <v>11</v>
      </c>
      <c r="D147" s="108">
        <f>IF(LEFT($A$144,5)="blank",0,D70/'Input Global'!D$22)</f>
        <v>0</v>
      </c>
      <c r="E147" s="108">
        <f>IF(LEFT($A$144,5)="blank",0,E70/'Input Global'!E$22)</f>
        <v>9.8414227231675628</v>
      </c>
      <c r="F147" s="108">
        <f>IF(LEFT($A$144,5)="blank",0,F70/'Input Global'!F$22)</f>
        <v>10.825812367061719</v>
      </c>
      <c r="G147" s="108">
        <f>IF(LEFT($A$144,5)="blank",0,G70/'Input Global'!G$22)</f>
        <v>11.712147400082355</v>
      </c>
      <c r="H147" s="108">
        <f>IF(LEFT($A$144,5)="blank",0,H70/'Input Global'!H$22)</f>
        <v>12.348140869279707</v>
      </c>
    </row>
    <row r="148" spans="1:8" x14ac:dyDescent="0.3">
      <c r="A148" s="97"/>
      <c r="B148" s="97"/>
      <c r="C148" s="97"/>
    </row>
    <row r="149" spans="1:8" x14ac:dyDescent="0.3">
      <c r="A149" s="17" t="str">
        <f t="shared" si="17"/>
        <v>Retail and Wholesale</v>
      </c>
      <c r="C149" s="17" t="s">
        <v>11</v>
      </c>
      <c r="D149" s="108">
        <f ca="1">IF(LEFT($A$144,5)="blank",0,D72/'Input Global'!D$22)</f>
        <v>7.8082776975079664</v>
      </c>
      <c r="E149" s="108">
        <f ca="1">IF(LEFT($A$144,5)="blank",0,E72/'Input Global'!E$22)</f>
        <v>16.878563098428042</v>
      </c>
      <c r="F149" s="108">
        <f ca="1">IF(LEFT($A$144,5)="blank",0,F72/'Input Global'!F$22)</f>
        <v>17.226157849417046</v>
      </c>
      <c r="G149" s="108">
        <f ca="1">IF(LEFT($A$144,5)="blank",0,G72/'Input Global'!G$22)</f>
        <v>17.421481668511454</v>
      </c>
      <c r="H149" s="108">
        <f ca="1">IF(LEFT($A$144,5)="blank",0,H72/'Input Global'!H$22)</f>
        <v>18.167159377479301</v>
      </c>
    </row>
    <row r="150" spans="1:8" x14ac:dyDescent="0.3">
      <c r="A150" s="17" t="str">
        <f t="shared" si="17"/>
        <v>Green Schemes</v>
      </c>
      <c r="C150" s="17" t="s">
        <v>11</v>
      </c>
      <c r="D150" s="103"/>
      <c r="E150" s="103"/>
      <c r="F150" s="103"/>
      <c r="G150" s="103"/>
      <c r="H150" s="103"/>
    </row>
    <row r="151" spans="1:8" x14ac:dyDescent="0.3">
      <c r="A151" s="19" t="str">
        <f t="shared" si="17"/>
        <v>Feed-in Tariffs</v>
      </c>
      <c r="C151" s="17" t="s">
        <v>11</v>
      </c>
      <c r="D151" s="108">
        <f>IF(LEFT($A$144,5)="blank",0,D74/'Input Global'!D$22)</f>
        <v>0</v>
      </c>
      <c r="E151" s="108">
        <f>IF(LEFT($A$144,5)="blank",0,E74/'Input Global'!E$22)</f>
        <v>4.9000000000000002E-2</v>
      </c>
      <c r="F151" s="108">
        <f>IF(LEFT($A$144,5)="blank",0,F74/'Input Global'!F$22)</f>
        <v>5.0224999999999999E-2</v>
      </c>
      <c r="G151" s="108">
        <f>IF(LEFT($A$144,5)="blank",0,G74/'Input Global'!G$22)</f>
        <v>5.1480624999999988E-2</v>
      </c>
      <c r="H151" s="108">
        <f>IF(LEFT($A$144,5)="blank",0,H74/'Input Global'!H$22)</f>
        <v>5.276764062499998E-2</v>
      </c>
    </row>
    <row r="152" spans="1:8" x14ac:dyDescent="0.3">
      <c r="A152" s="19" t="str">
        <f t="shared" si="17"/>
        <v>Carbon costs</v>
      </c>
      <c r="C152" s="17" t="s">
        <v>11</v>
      </c>
      <c r="D152" s="108">
        <f ca="1">IF(LEFT($A$144,5)="blank",0,D75/'Input Global'!D$22)</f>
        <v>0</v>
      </c>
      <c r="E152" s="108">
        <f ca="1">IF(LEFT($A$144,5)="blank",0,E75/'Input Global'!E$22)</f>
        <v>0</v>
      </c>
      <c r="F152" s="108">
        <f ca="1">IF(LEFT($A$144,5)="blank",0,F75/'Input Global'!F$22)</f>
        <v>2.2400000000000002</v>
      </c>
      <c r="G152" s="108">
        <f ca="1">IF(LEFT($A$144,5)="blank",0,G75/'Input Global'!G$22)</f>
        <v>2.3496983847138235</v>
      </c>
      <c r="H152" s="108">
        <f ca="1">IF(LEFT($A$144,5)="blank",0,H75/'Input Global'!H$22)</f>
        <v>2.4675592256389769</v>
      </c>
    </row>
    <row r="153" spans="1:8" x14ac:dyDescent="0.3">
      <c r="A153" s="19" t="str">
        <f t="shared" si="17"/>
        <v>Large Scale Renewable Energy Target</v>
      </c>
      <c r="C153" s="17" t="s">
        <v>11</v>
      </c>
      <c r="D153" s="108">
        <f ca="1">IF(LEFT($A$144,5)="blank",0,D76/'Input Global'!D$22)</f>
        <v>0.25473754178777863</v>
      </c>
      <c r="E153" s="108">
        <f ca="1">IF(LEFT($A$144,5)="blank",0,E76/'Input Global'!E$22)</f>
        <v>0.44267417909205159</v>
      </c>
      <c r="F153" s="108">
        <f ca="1">IF(LEFT($A$144,5)="blank",0,F76/'Input Global'!F$22)</f>
        <v>0.6628193665535661</v>
      </c>
      <c r="G153" s="108">
        <f ca="1">IF(LEFT($A$144,5)="blank",0,G76/'Input Global'!G$22)</f>
        <v>0.71024842650382625</v>
      </c>
      <c r="H153" s="108">
        <f ca="1">IF(LEFT($A$144,5)="blank",0,H76/'Input Global'!H$22)</f>
        <v>0.75212223266646072</v>
      </c>
    </row>
    <row r="154" spans="1:8" x14ac:dyDescent="0.3">
      <c r="A154" s="19" t="str">
        <f t="shared" si="17"/>
        <v>Small Scale Renewable Energy Scheme</v>
      </c>
      <c r="C154" s="17" t="s">
        <v>11</v>
      </c>
      <c r="D154" s="108">
        <f ca="1">IF(LEFT($A$144,5)="blank",0,D77/'Input Global'!D$22)</f>
        <v>0.43999227350852893</v>
      </c>
      <c r="E154" s="108">
        <f ca="1">IF(LEFT($A$144,5)="blank",0,E77/'Input Global'!E$22)</f>
        <v>0.52897443353026441</v>
      </c>
      <c r="F154" s="108">
        <f ca="1">IF(LEFT($A$144,5)="blank",0,F77/'Input Global'!F$22)</f>
        <v>0.2881821035194338</v>
      </c>
      <c r="G154" s="108">
        <f ca="1">IF(LEFT($A$144,5)="blank",0,G77/'Input Global'!G$22)</f>
        <v>0.12683626123551256</v>
      </c>
      <c r="H154" s="108">
        <f ca="1">IF(LEFT($A$144,5)="blank",0,H77/'Input Global'!H$22)</f>
        <v>0.11021384523313771</v>
      </c>
    </row>
    <row r="155" spans="1:8" x14ac:dyDescent="0.3">
      <c r="A155" s="19" t="str">
        <f t="shared" si="17"/>
        <v>Energy Saver Incentive</v>
      </c>
      <c r="C155" s="17" t="s">
        <v>11</v>
      </c>
      <c r="D155" s="108">
        <f ca="1">IF(LEFT($A$144,5)="blank",0,D78/'Input Global'!D$22)</f>
        <v>0.39</v>
      </c>
      <c r="E155" s="108">
        <f ca="1">IF(LEFT($A$144,5)="blank",0,E78/'Input Global'!E$22)</f>
        <v>0.39</v>
      </c>
      <c r="F155" s="108">
        <f ca="1">IF(LEFT($A$144,5)="blank",0,F78/'Input Global'!F$22)</f>
        <v>0.38</v>
      </c>
      <c r="G155" s="108">
        <f ca="1">IF(LEFT($A$144,5)="blank",0,G78/'Input Global'!G$22)</f>
        <v>0.38</v>
      </c>
      <c r="H155" s="108">
        <f ca="1">IF(LEFT($A$144,5)="blank",0,H78/'Input Global'!H$22)</f>
        <v>0.38</v>
      </c>
    </row>
    <row r="156" spans="1:8" x14ac:dyDescent="0.3">
      <c r="A156" s="19" t="str">
        <f t="shared" si="17"/>
        <v>blank</v>
      </c>
      <c r="C156" s="17" t="s">
        <v>11</v>
      </c>
      <c r="D156" s="108">
        <f ca="1">IF(LEFT($A$144,5)="blank",0,D79/'Input Global'!D$22)</f>
        <v>0</v>
      </c>
      <c r="E156" s="108">
        <f ca="1">IF(LEFT($A$144,5)="blank",0,E79/'Input Global'!E$22)</f>
        <v>0</v>
      </c>
      <c r="F156" s="108">
        <f ca="1">IF(LEFT($A$144,5)="blank",0,F79/'Input Global'!F$22)</f>
        <v>0</v>
      </c>
      <c r="G156" s="108">
        <f ca="1">IF(LEFT($A$144,5)="blank",0,G79/'Input Global'!G$22)</f>
        <v>0</v>
      </c>
      <c r="H156" s="108">
        <f ca="1">IF(LEFT($A$144,5)="blank",0,H79/'Input Global'!H$22)</f>
        <v>0</v>
      </c>
    </row>
    <row r="157" spans="1:8" x14ac:dyDescent="0.3">
      <c r="A157" s="20" t="s">
        <v>53</v>
      </c>
      <c r="B157" s="20"/>
      <c r="C157" s="20" t="s">
        <v>11</v>
      </c>
      <c r="D157" s="108">
        <f ca="1">SUM(D145:D156)</f>
        <v>8.8930075128042745</v>
      </c>
      <c r="E157" s="108">
        <f t="shared" ref="E157:H157" ca="1" si="18">SUM(E145:E156)</f>
        <v>29.134662947721633</v>
      </c>
      <c r="F157" s="108">
        <f t="shared" ca="1" si="18"/>
        <v>32.699999999999974</v>
      </c>
      <c r="G157" s="108">
        <f t="shared" ca="1" si="18"/>
        <v>33.802282237080583</v>
      </c>
      <c r="H157" s="108">
        <f t="shared" ca="1" si="18"/>
        <v>35.352044676964539</v>
      </c>
    </row>
    <row r="159" spans="1:8" ht="18.75" x14ac:dyDescent="0.3">
      <c r="A159" s="16" t="s">
        <v>66</v>
      </c>
    </row>
    <row r="160" spans="1:8" x14ac:dyDescent="0.3">
      <c r="A160" s="17" t="str">
        <f>Dist1</f>
        <v>Citipower</v>
      </c>
      <c r="B160" s="17" t="s">
        <v>36</v>
      </c>
      <c r="C160" s="17" t="s">
        <v>22</v>
      </c>
      <c r="D160" s="109">
        <f>'Input Global'!D25/'Input Global'!D$30</f>
        <v>0.10272024643169531</v>
      </c>
      <c r="E160" s="109">
        <f>'Input Global'!E25/'Input Global'!E$30</f>
        <v>0.10247739049784825</v>
      </c>
      <c r="F160" s="109">
        <f>'Input Global'!F25/'Input Global'!F$30</f>
        <v>0.10188672972259502</v>
      </c>
      <c r="G160" s="109">
        <f>'Input Global'!G25/'Input Global'!G$30</f>
        <v>0.1012396121372746</v>
      </c>
      <c r="H160" s="109">
        <f>'Input Global'!H25/'Input Global'!H$30</f>
        <v>0.10090806788173845</v>
      </c>
    </row>
    <row r="161" spans="1:8" x14ac:dyDescent="0.3">
      <c r="A161" s="17" t="str">
        <f>Dist2</f>
        <v>Powercor</v>
      </c>
      <c r="B161" s="17" t="s">
        <v>36</v>
      </c>
      <c r="C161" s="17" t="s">
        <v>22</v>
      </c>
      <c r="D161" s="109">
        <f>'Input Global'!D26/'Input Global'!D$30</f>
        <v>0.26528704439176137</v>
      </c>
      <c r="E161" s="109">
        <f>'Input Global'!E26/'Input Global'!E$30</f>
        <v>0.26688783896508689</v>
      </c>
      <c r="F161" s="109">
        <f>'Input Global'!F26/'Input Global'!F$30</f>
        <v>0.26867554005988326</v>
      </c>
      <c r="G161" s="109">
        <f>'Input Global'!G26/'Input Global'!G$30</f>
        <v>0.27068858433367066</v>
      </c>
      <c r="H161" s="109">
        <f>'Input Global'!H26/'Input Global'!H$30</f>
        <v>0.27257402811011694</v>
      </c>
    </row>
    <row r="162" spans="1:8" x14ac:dyDescent="0.3">
      <c r="A162" s="17" t="str">
        <f>Dist3</f>
        <v>SP Ausnet</v>
      </c>
      <c r="B162" s="17" t="s">
        <v>36</v>
      </c>
      <c r="C162" s="17" t="s">
        <v>22</v>
      </c>
      <c r="D162" s="109">
        <f>'Input Global'!D27/'Input Global'!D$30</f>
        <v>0.21743277923006957</v>
      </c>
      <c r="E162" s="109">
        <f>'Input Global'!E27/'Input Global'!E$30</f>
        <v>0.21875450325303131</v>
      </c>
      <c r="F162" s="109">
        <f>'Input Global'!F27/'Input Global'!F$30</f>
        <v>0.22016442193759983</v>
      </c>
      <c r="G162" s="109">
        <f>'Input Global'!G27/'Input Global'!G$30</f>
        <v>0.22133700993839256</v>
      </c>
      <c r="H162" s="109">
        <f>'Input Global'!H27/'Input Global'!H$30</f>
        <v>0.22232137015211889</v>
      </c>
    </row>
    <row r="163" spans="1:8" x14ac:dyDescent="0.3">
      <c r="A163" s="17" t="str">
        <f>Dist4</f>
        <v>United</v>
      </c>
      <c r="B163" s="17" t="s">
        <v>36</v>
      </c>
      <c r="C163" s="17" t="s">
        <v>22</v>
      </c>
      <c r="D163" s="109">
        <f>'Input Global'!D28/'Input Global'!D$30</f>
        <v>0.27803821300861098</v>
      </c>
      <c r="E163" s="109">
        <f>'Input Global'!E28/'Input Global'!E$30</f>
        <v>0.27579462361978679</v>
      </c>
      <c r="F163" s="109">
        <f>'Input Global'!F28/'Input Global'!F$30</f>
        <v>0.27366096205609564</v>
      </c>
      <c r="G163" s="109">
        <f>'Input Global'!G28/'Input Global'!G$30</f>
        <v>0.27165615253712266</v>
      </c>
      <c r="H163" s="109">
        <f>'Input Global'!H28/'Input Global'!H$30</f>
        <v>0.26967117275357122</v>
      </c>
    </row>
    <row r="164" spans="1:8" x14ac:dyDescent="0.3">
      <c r="A164" s="17" t="str">
        <f>Dist5</f>
        <v>Jemena</v>
      </c>
      <c r="B164" s="17" t="s">
        <v>36</v>
      </c>
      <c r="C164" s="17" t="s">
        <v>22</v>
      </c>
      <c r="D164" s="109">
        <f>'Input Global'!D29/'Input Global'!D$30</f>
        <v>0.13652171693786272</v>
      </c>
      <c r="E164" s="109">
        <f>'Input Global'!E29/'Input Global'!E$30</f>
        <v>0.13608564366424677</v>
      </c>
      <c r="F164" s="109">
        <f>'Input Global'!F29/'Input Global'!F$30</f>
        <v>0.1356123462238262</v>
      </c>
      <c r="G164" s="109">
        <f>'Input Global'!G29/'Input Global'!G$30</f>
        <v>0.13507864105353951</v>
      </c>
      <c r="H164" s="109">
        <f>'Input Global'!H29/'Input Global'!H$30</f>
        <v>0.13452536110245453</v>
      </c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0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164"/>
  <sheetViews>
    <sheetView zoomScaleNormal="100" workbookViewId="0">
      <pane xSplit="3" ySplit="4" topLeftCell="D5" activePane="bottomRight" state="frozenSplit"/>
      <selection activeCell="L69" sqref="L69:R69"/>
      <selection pane="topRight" activeCell="L69" sqref="L69:R69"/>
      <selection pane="bottomLeft" activeCell="L69" sqref="L69:R69"/>
      <selection pane="bottomRight" activeCell="I147" sqref="I147"/>
    </sheetView>
  </sheetViews>
  <sheetFormatPr defaultRowHeight="16.5" x14ac:dyDescent="0.3"/>
  <cols>
    <col min="1" max="1" width="20.28515625" bestFit="1" customWidth="1"/>
    <col min="2" max="2" width="14.140625" customWidth="1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.7109375" bestFit="1" customWidth="1"/>
    <col min="15" max="15" width="10.5703125" bestFit="1" customWidth="1"/>
  </cols>
  <sheetData>
    <row r="1" spans="1:16" s="2" customFormat="1" ht="23.25" x14ac:dyDescent="0.35">
      <c r="A1" s="2" t="s">
        <v>1</v>
      </c>
      <c r="B1" s="7" t="str">
        <f ca="1">'Input Global'!B1</f>
        <v>2012 Pricing Trends - model - Vic</v>
      </c>
      <c r="C1" s="5"/>
      <c r="D1" s="99"/>
      <c r="E1" s="99"/>
      <c r="F1" s="99"/>
      <c r="G1" s="98"/>
      <c r="H1" s="98"/>
      <c r="I1" s="79" t="s">
        <v>30</v>
      </c>
    </row>
    <row r="2" spans="1:16" s="2" customFormat="1" ht="19.5" thickBot="1" x14ac:dyDescent="0.35">
      <c r="B2" s="4" t="str">
        <f ca="1">RIGHT(CELL("filename",B2),LEN(CELL("filename",B2))-SEARCH("]",CELL("filename",B2)))</f>
        <v>Calc (LRMC Slow Rate)</v>
      </c>
      <c r="C2" s="3"/>
      <c r="D2" s="100"/>
      <c r="E2" s="100"/>
      <c r="F2" s="100"/>
      <c r="G2" s="98"/>
      <c r="H2" s="98"/>
      <c r="I2" s="85" t="s">
        <v>24</v>
      </c>
    </row>
    <row r="3" spans="1:16" s="2" customFormat="1" ht="17.25" thickBot="1" x14ac:dyDescent="0.35">
      <c r="D3" s="98"/>
      <c r="E3" s="98"/>
      <c r="F3" s="98"/>
      <c r="G3" s="98"/>
      <c r="H3" s="98"/>
      <c r="I3" s="86" t="s">
        <v>31</v>
      </c>
    </row>
    <row r="4" spans="1:16" s="2" customFormat="1" ht="15" x14ac:dyDescent="0.25">
      <c r="B4" s="6"/>
      <c r="C4" s="6" t="s">
        <v>8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" t="s">
        <v>37</v>
      </c>
      <c r="B6" s="1" t="s">
        <v>41</v>
      </c>
    </row>
    <row r="7" spans="1:16" x14ac:dyDescent="0.3">
      <c r="A7" s="8" t="str">
        <f>Dist1</f>
        <v>Citipower</v>
      </c>
    </row>
    <row r="8" spans="1:16" ht="15" x14ac:dyDescent="0.25">
      <c r="A8" s="158"/>
      <c r="B8" s="158"/>
      <c r="C8" s="158"/>
      <c r="D8" s="158"/>
      <c r="E8" s="158"/>
      <c r="F8" s="158"/>
      <c r="G8" s="158"/>
      <c r="H8" s="158"/>
      <c r="K8" s="158"/>
      <c r="L8" s="158"/>
      <c r="M8" s="158"/>
      <c r="N8" s="158"/>
      <c r="O8" s="158"/>
    </row>
    <row r="9" spans="1:16" x14ac:dyDescent="0.3">
      <c r="A9" t="str">
        <f>'Calc (Jurisdiction)'!A9</f>
        <v>Transmission</v>
      </c>
      <c r="C9" t="s">
        <v>55</v>
      </c>
      <c r="D9" s="108">
        <f>'Input General'!D8+(SUMPRODUCT('Input General'!D9:D12,'Input General'!D111:D114)*'Input Global'!D18)</f>
        <v>0</v>
      </c>
      <c r="E9" s="108">
        <f>'Input General'!E8+(SUMPRODUCT('Input General'!E9:E12,'Input General'!E111:E114)*'Input Global'!E18)</f>
        <v>4694.603625148784</v>
      </c>
      <c r="F9" s="108">
        <f>'Input General'!F8+(SUMPRODUCT('Input General'!F9:F12,'Input General'!F111:F114)*'Input Global'!F18)</f>
        <v>4697.2238014486502</v>
      </c>
      <c r="G9" s="108">
        <f>'Input General'!G8+(SUMPRODUCT('Input General'!G9:G12,'Input General'!G111:G114)*'Input Global'!G18)</f>
        <v>4685.8090720490854</v>
      </c>
      <c r="H9" s="108">
        <f>'Input General'!H8+(SUMPRODUCT('Input General'!H9:H12,'Input General'!H111:H114)*'Input Global'!H18)</f>
        <v>4700.0585595945067</v>
      </c>
    </row>
    <row r="10" spans="1:16" x14ac:dyDescent="0.3">
      <c r="A10" t="str">
        <f>'Calc (Jurisdiction)'!A10</f>
        <v>Distribution</v>
      </c>
      <c r="C10" t="s">
        <v>55</v>
      </c>
      <c r="D10" s="108">
        <f>'Input General'!D40+SUMPRODUCT('Input General'!D41:D44,'Input General'!D111:D114)*'Input Global'!D18+'Input General'!D71</f>
        <v>0</v>
      </c>
      <c r="E10" s="108">
        <f>'Input General'!E40+SUMPRODUCT('Input General'!E41:E44,'Input General'!E111:E114)*'Input Global'!E18+'Input General'!E71</f>
        <v>32059.456764202627</v>
      </c>
      <c r="F10" s="108">
        <f>'Input General'!F40+SUMPRODUCT('Input General'!F41:F44,'Input General'!F111:F114)*'Input Global'!F18+'Input General'!F71</f>
        <v>35159.618836465401</v>
      </c>
      <c r="G10" s="108">
        <f>'Input General'!G40+SUMPRODUCT('Input General'!G41:G44,'Input General'!G111:G114)*'Input Global'!G18+'Input General'!G71</f>
        <v>39043.377165682046</v>
      </c>
      <c r="H10" s="108">
        <f>'Input General'!H40+SUMPRODUCT('Input General'!H41:H44,'Input General'!H111:H114)*'Input Global'!H18+'Input General'!H71</f>
        <v>43196.416979369867</v>
      </c>
      <c r="P10" s="9"/>
    </row>
    <row r="11" spans="1:16" ht="15" x14ac:dyDescent="0.25">
      <c r="A11" s="158"/>
      <c r="B11" s="158"/>
      <c r="C11" s="158"/>
      <c r="D11" s="158"/>
      <c r="E11" s="158"/>
      <c r="F11" s="158"/>
      <c r="G11" s="158"/>
      <c r="H11" s="158"/>
      <c r="K11" s="14"/>
      <c r="M11" s="13"/>
      <c r="O11" s="9"/>
      <c r="P11" s="9"/>
    </row>
    <row r="12" spans="1:16" x14ac:dyDescent="0.3">
      <c r="A12" t="str">
        <f>'Calc (Jurisdiction)'!A12</f>
        <v>Retail and Wholesale</v>
      </c>
      <c r="C12" t="s">
        <v>55</v>
      </c>
      <c r="D12" s="108">
        <f ca="1">VLOOKUP($B$2,'Input General'!$A$223:$H$227,COLUMN(D12),FALSE)*'Input Global'!D33+VLOOKUP($B$2,dist1wholesale,COLUMN('Calc (Jurisdiction)'!D8),FALSE)*'Input Global'!D18</f>
        <v>30197.211168410773</v>
      </c>
      <c r="E12" s="108">
        <f ca="1">VLOOKUP($B$2,'Input General'!$A$223:$H$227,COLUMN(E12),FALSE)*'Input Global'!E33+VLOOKUP($B$2,dist1wholesale,COLUMN('Calc (Jurisdiction)'!E8),FALSE)*'Input Global'!E18</f>
        <v>84698.965685383737</v>
      </c>
      <c r="F12" s="108">
        <f ca="1">VLOOKUP($B$2,'Input General'!$A$223:$H$227,COLUMN(F12),FALSE)*'Input Global'!F33+VLOOKUP($B$2,dist1wholesale,COLUMN('Calc (Jurisdiction)'!F8),FALSE)*'Input Global'!F18</f>
        <v>77515.170863852618</v>
      </c>
      <c r="G12" s="108">
        <f ca="1">VLOOKUP($B$2,'Input General'!$A$223:$H$227,COLUMN(G12),FALSE)*'Input Global'!G33+VLOOKUP($B$2,dist1wholesale,COLUMN('Calc (Jurisdiction)'!G8),FALSE)*'Input Global'!G18</f>
        <v>80644.245905041535</v>
      </c>
      <c r="H12" s="108">
        <f ca="1">VLOOKUP($B$2,'Input General'!$A$223:$H$227,COLUMN(H12),FALSE)*'Input Global'!H33+VLOOKUP($B$2,dist1wholesale,COLUMN('Calc (Jurisdiction)'!H8),FALSE)*'Input Global'!H18</f>
        <v>81731.098213914302</v>
      </c>
      <c r="K12" s="14"/>
      <c r="M12" s="13"/>
      <c r="O12" s="9"/>
      <c r="P12" s="9"/>
    </row>
    <row r="13" spans="1:16" x14ac:dyDescent="0.3">
      <c r="A13" t="str">
        <f>'Calc (Jurisdiction)'!A13</f>
        <v>Green Schemes</v>
      </c>
      <c r="D13" s="103"/>
      <c r="E13" s="103"/>
      <c r="F13" s="103"/>
      <c r="G13" s="103"/>
      <c r="H13" s="103"/>
      <c r="K13" s="14"/>
      <c r="M13" s="13"/>
      <c r="O13" s="9"/>
      <c r="P13" s="9"/>
    </row>
    <row r="14" spans="1:16" x14ac:dyDescent="0.3">
      <c r="A14" s="11" t="str">
        <f>'Calc (Jurisdiction)'!A14</f>
        <v>Feed-in Tariffs</v>
      </c>
      <c r="C14" t="s">
        <v>55</v>
      </c>
      <c r="D14" s="108">
        <f>'Input General'!D79+SUMPRODUCT('Input General'!D80:D83,'Input General'!D111:D114)*'Input Global'!D18</f>
        <v>0</v>
      </c>
      <c r="E14" s="108">
        <f>'Input General'!E79+SUMPRODUCT('Input General'!E80:E83,'Input General'!E111:E114)*'Input Global'!E18</f>
        <v>295.08339548072445</v>
      </c>
      <c r="F14" s="108">
        <f>'Input General'!F79+SUMPRODUCT('Input General'!F80:F83,'Input General'!F111:F114)*'Input Global'!F18</f>
        <v>299.07247235506139</v>
      </c>
      <c r="G14" s="108">
        <f>'Input General'!G79+SUMPRODUCT('Input General'!G80:G83,'Input General'!G111:G114)*'Input Global'!G18</f>
        <v>302.65024259572192</v>
      </c>
      <c r="H14" s="108">
        <f>'Input General'!H79+SUMPRODUCT('Input General'!H80:H83,'Input General'!H111:H114)*'Input Global'!H18</f>
        <v>307.22142213400855</v>
      </c>
    </row>
    <row r="15" spans="1:16" x14ac:dyDescent="0.3">
      <c r="A15" s="11" t="str">
        <f>'Calc (Jurisdiction)'!A15</f>
        <v>Carbon costs</v>
      </c>
      <c r="C15" t="s">
        <v>55</v>
      </c>
      <c r="D15" s="108">
        <f ca="1">VLOOKUP($B$2,'Input General'!$A$256:$H$260, COLUMN('Input General'!D256),FALSE)*'Input Global'!D$18</f>
        <v>0</v>
      </c>
      <c r="E15" s="108">
        <f ca="1">VLOOKUP($B$2,'Input General'!$A$256:$H$260, COLUMN('Input General'!E256),FALSE)*'Input Global'!E$18</f>
        <v>0</v>
      </c>
      <c r="F15" s="108">
        <f ca="1">VLOOKUP($B$2,'Input General'!$A$256:$H$260, COLUMN('Input General'!F256),FALSE)*'Input Global'!F$18</f>
        <v>10244.597444220091</v>
      </c>
      <c r="G15" s="108">
        <f ca="1">VLOOKUP($B$2,'Input General'!$A$256:$H$260, COLUMN('Input General'!G256),FALSE)*'Input Global'!G$18</f>
        <v>10497.40292338703</v>
      </c>
      <c r="H15" s="108">
        <f ca="1">VLOOKUP($B$2,'Input General'!$A$256:$H$260, COLUMN('Input General'!H256),FALSE)*'Input Global'!H$18</f>
        <v>10801.737272847067</v>
      </c>
      <c r="I15" s="10"/>
    </row>
    <row r="16" spans="1:16" x14ac:dyDescent="0.3">
      <c r="A16" s="11" t="str">
        <f>'Calc (Jurisdiction)'!A16</f>
        <v>Large Scale Renewable Energy Target</v>
      </c>
      <c r="C16" t="s">
        <v>55</v>
      </c>
      <c r="D16" s="108">
        <f ca="1">VLOOKUP($B$2,'Input General'!$A319:$H324,COLUMN(D16),FALSE)*'Input Global'!D18</f>
        <v>1207.2319490745772</v>
      </c>
      <c r="E16" s="108">
        <f ca="1">VLOOKUP($B$2,'Input General'!$A319:$H324,COLUMN(E16),FALSE)*'Input Global'!E18</f>
        <v>2070.6471001134769</v>
      </c>
      <c r="F16" s="108">
        <f ca="1">VLOOKUP($B$2,'Input General'!$A319:$H324,COLUMN(F16),FALSE)*'Input Global'!F18</f>
        <v>3031.3917806135009</v>
      </c>
      <c r="G16" s="108">
        <f ca="1">VLOOKUP($B$2,'Input General'!$A319:$H324,COLUMN(G16),FALSE)*'Input Global'!G18</f>
        <v>3165.2889523550025</v>
      </c>
      <c r="H16" s="108">
        <f ca="1">VLOOKUP($B$2,'Input General'!$A319:$H324,COLUMN(H16),FALSE)*'Input Global'!H18</f>
        <v>3286.0188503971226</v>
      </c>
      <c r="I16" s="10"/>
    </row>
    <row r="17" spans="1:15" x14ac:dyDescent="0.3">
      <c r="A17" s="11" t="str">
        <f>'Calc (Jurisdiction)'!A17</f>
        <v>Small Scale Renewable Energy Scheme</v>
      </c>
      <c r="C17" t="s">
        <v>55</v>
      </c>
      <c r="D17" s="108">
        <f ca="1">'Input General'!D139*'Input Global'!D18</f>
        <v>2085.1764769245315</v>
      </c>
      <c r="E17" s="108">
        <f ca="1">'Input General'!E139*'Input Global'!E18</f>
        <v>2474.3240707424361</v>
      </c>
      <c r="F17" s="108">
        <f ca="1">'Input General'!F139*'Input Global'!F18</f>
        <v>1317.9953755290896</v>
      </c>
      <c r="G17" s="108">
        <f ca="1">'Input General'!G139*'Input Global'!G18</f>
        <v>565.2577144681353</v>
      </c>
      <c r="H17" s="108">
        <f ca="1">'Input General'!H139*'Input Global'!H18</f>
        <v>481.5238788754375</v>
      </c>
      <c r="I17" s="10"/>
    </row>
    <row r="18" spans="1:15" x14ac:dyDescent="0.3">
      <c r="A18" s="11" t="str">
        <f>'Calc (Jurisdiction)'!A18</f>
        <v>Energy Saver Incentive</v>
      </c>
      <c r="C18" t="s">
        <v>55</v>
      </c>
      <c r="D18" s="108">
        <f ca="1">VLOOKUP($B$2,'Input General'!$A$159:$H$163,COLUMN(D18),FALSE)*'Input Global'!D$18</f>
        <v>1848.2570603249551</v>
      </c>
      <c r="E18" s="108">
        <f ca="1">VLOOKUP($B$2,'Input General'!$A$159:$H$163,COLUMN(E18),FALSE)*'Input Global'!E$18</f>
        <v>1824.2590311018121</v>
      </c>
      <c r="F18" s="108">
        <f ca="1">VLOOKUP($B$2,'Input General'!$A$159:$H$163,COLUMN(F18),FALSE)*'Input Global'!F$18</f>
        <v>1737.9227807159082</v>
      </c>
      <c r="G18" s="108">
        <f ca="1">VLOOKUP($B$2,'Input General'!$A$159:$H$163,COLUMN(G18),FALSE)*'Input Global'!G$18</f>
        <v>1693.5057010159676</v>
      </c>
      <c r="H18" s="108">
        <f ca="1">VLOOKUP($B$2,'Input General'!$A$159:$H$163,COLUMN(H18),FALSE)*'Input Global'!H$18</f>
        <v>1660.2185831154577</v>
      </c>
      <c r="I18" s="10"/>
    </row>
    <row r="19" spans="1:15" x14ac:dyDescent="0.3">
      <c r="A19" s="11" t="str">
        <f>'Calc (Jurisdiction)'!A19</f>
        <v>blank</v>
      </c>
      <c r="C19" t="s">
        <v>55</v>
      </c>
      <c r="D19" s="108">
        <f ca="1">VLOOKUP($B$2,'Input General'!$A$191:$H$195,COLUMN(D19),FALSE)*'Input Global'!D$18</f>
        <v>0</v>
      </c>
      <c r="E19" s="108">
        <f ca="1">VLOOKUP($B$2,'Input General'!$A$191:$H$195,COLUMN(E19),FALSE)*'Input Global'!E$18</f>
        <v>0</v>
      </c>
      <c r="F19" s="108">
        <f ca="1">VLOOKUP($B$2,'Input General'!$A$191:$H$195,COLUMN(F19),FALSE)*'Input Global'!F$18</f>
        <v>0</v>
      </c>
      <c r="G19" s="108">
        <f ca="1">VLOOKUP($B$2,'Input General'!$A$191:$H$195,COLUMN(G19),FALSE)*'Input Global'!G$18</f>
        <v>0</v>
      </c>
      <c r="H19" s="108">
        <f ca="1">VLOOKUP($B$2,'Input General'!$A$191:$H$195,COLUMN(H19),FALSE)*'Input Global'!H$18</f>
        <v>0</v>
      </c>
      <c r="I19" s="10"/>
    </row>
    <row r="20" spans="1:15" x14ac:dyDescent="0.3">
      <c r="A20" s="15" t="s">
        <v>53</v>
      </c>
      <c r="B20" s="12"/>
      <c r="C20" s="12" t="s">
        <v>55</v>
      </c>
      <c r="D20" s="108">
        <f ca="1">SUM(D8:D19)</f>
        <v>35337.876654734835</v>
      </c>
      <c r="E20" s="108">
        <f t="shared" ref="E20:H20" ca="1" si="0">SUM(E8:E19)</f>
        <v>128117.33967217362</v>
      </c>
      <c r="F20" s="108">
        <f t="shared" ca="1" si="0"/>
        <v>134002.99335520033</v>
      </c>
      <c r="G20" s="108">
        <f t="shared" ca="1" si="0"/>
        <v>140597.53767659454</v>
      </c>
      <c r="H20" s="108">
        <f t="shared" ca="1" si="0"/>
        <v>146164.29376024779</v>
      </c>
    </row>
    <row r="21" spans="1:15" x14ac:dyDescent="0.3">
      <c r="D21" s="102"/>
    </row>
    <row r="22" spans="1:15" x14ac:dyDescent="0.3">
      <c r="A22" s="8" t="str">
        <f>Dist2</f>
        <v>Powercor</v>
      </c>
    </row>
    <row r="23" spans="1:15" ht="15" x14ac:dyDescent="0.25">
      <c r="A23" s="158"/>
      <c r="B23" s="158"/>
      <c r="C23" s="158"/>
      <c r="D23" s="158"/>
      <c r="E23" s="158"/>
      <c r="F23" s="158"/>
      <c r="G23" s="158"/>
      <c r="H23" s="158"/>
      <c r="K23" s="158"/>
      <c r="L23" s="158"/>
      <c r="M23" s="158"/>
      <c r="N23" s="158"/>
      <c r="O23" s="158"/>
    </row>
    <row r="24" spans="1:15" x14ac:dyDescent="0.3">
      <c r="A24" t="str">
        <f t="shared" ref="A24:A34" si="1">A9</f>
        <v>Transmission</v>
      </c>
      <c r="C24" t="s">
        <v>55</v>
      </c>
      <c r="D24" s="108">
        <f>IF(LEFT($A$22,5)="blank",0,'Input General'!D14+(SUMPRODUCT('Input General'!D15:D18,'Input General'!D116:D119)*'Input Global'!D19))</f>
        <v>0</v>
      </c>
      <c r="E24" s="108">
        <f>IF(LEFT($A$22,5)="blank",0,'Input General'!E14+(SUMPRODUCT('Input General'!E15:E18,'Input General'!E116:E119)*'Input Global'!E19))</f>
        <v>6202.9723446853313</v>
      </c>
      <c r="F24" s="108">
        <f>IF(LEFT($A$22,5)="blank",0,'Input General'!F14+(SUMPRODUCT('Input General'!F15:F18,'Input General'!F116:F119)*'Input Global'!F19))</f>
        <v>6218.6626950420305</v>
      </c>
      <c r="G24" s="108">
        <f>IF(LEFT($A$22,5)="blank",0,'Input General'!G14+(SUMPRODUCT('Input General'!G15:G18,'Input General'!G116:G119)*'Input Global'!G19))</f>
        <v>6217.8565908331775</v>
      </c>
      <c r="H24" s="108">
        <f>IF(LEFT($A$22,5)="blank",0,'Input General'!H14+(SUMPRODUCT('Input General'!H15:H18,'Input General'!H116:H119)*'Input Global'!H19))</f>
        <v>6247.9696549581267</v>
      </c>
    </row>
    <row r="25" spans="1:15" x14ac:dyDescent="0.3">
      <c r="A25" t="str">
        <f t="shared" si="1"/>
        <v>Distribution</v>
      </c>
      <c r="C25" t="s">
        <v>55</v>
      </c>
      <c r="D25" s="108">
        <f>IF(LEFT($A$22,5)="blank",0,'Input General'!D46+SUMPRODUCT('Input General'!D47:D50,'Input General'!D116:D119)*'Input Global'!D19+'Input General'!D72)</f>
        <v>0</v>
      </c>
      <c r="E25" s="108">
        <f>IF(LEFT($A$22,5)="blank",0,'Input General'!E46+SUMPRODUCT('Input General'!E47:E50,'Input General'!E116:E119)*'Input Global'!E19+'Input General'!E72)</f>
        <v>40331.10512939922</v>
      </c>
      <c r="F25" s="108">
        <f>IF(LEFT($A$22,5)="blank",0,'Input General'!F46+SUMPRODUCT('Input General'!F47:F50,'Input General'!F116:F119)*'Input Global'!F19+'Input General'!F72)</f>
        <v>43627.331792973535</v>
      </c>
      <c r="G25" s="108">
        <f>IF(LEFT($A$22,5)="blank",0,'Input General'!G46+SUMPRODUCT('Input General'!G47:G50,'Input General'!G116:G119)*'Input Global'!G19+'Input General'!G72)</f>
        <v>47138.174574861368</v>
      </c>
      <c r="H25" s="108">
        <f>IF(LEFT($A$22,5)="blank",0,'Input General'!H46+SUMPRODUCT('Input General'!H47:H50,'Input General'!H116:H119)*'Input Global'!H19+'Input General'!H72)</f>
        <v>50952.858783241027</v>
      </c>
    </row>
    <row r="26" spans="1:15" ht="15" x14ac:dyDescent="0.25">
      <c r="A26" s="158"/>
      <c r="B26" s="158"/>
      <c r="C26" s="158"/>
      <c r="D26" s="158"/>
      <c r="E26" s="158"/>
      <c r="F26" s="158"/>
      <c r="G26" s="158"/>
      <c r="H26" s="158"/>
    </row>
    <row r="27" spans="1:15" x14ac:dyDescent="0.3">
      <c r="A27" t="str">
        <f t="shared" si="1"/>
        <v>Retail and Wholesale</v>
      </c>
      <c r="C27" t="s">
        <v>55</v>
      </c>
      <c r="D27" s="108">
        <f ca="1">IF(LEFT($A$22,5)="blank",0,VLOOKUP($B$2,'Input General'!$A$229:$H$233,COLUMN(D12),FALSE)*'Input Global'!D$34)+IF(LEFT($A$22,5)="blank",0,VLOOKUP($B$2,dist2wholesale,COLUMN(D8),FALSE)*'Input Global'!D19)</f>
        <v>34944.928044604494</v>
      </c>
      <c r="E27" s="108">
        <f ca="1">IF(LEFT($A$22,5)="blank",0,VLOOKUP($B$2,'Input General'!$A$229:$H$233,COLUMN(E12),FALSE)*'Input Global'!E$34)+IF(LEFT($A$22,5)="blank",0,VLOOKUP($B$2,dist2wholesale,COLUMN(E8),FALSE)*'Input Global'!E19)</f>
        <v>86550.234381842907</v>
      </c>
      <c r="F27" s="108">
        <f ca="1">IF(LEFT($A$22,5)="blank",0,VLOOKUP($B$2,'Input General'!$A$229:$H$233,COLUMN(F12),FALSE)*'Input Global'!F$34)+IF(LEFT($A$22,5)="blank",0,VLOOKUP($B$2,dist2wholesale,COLUMN(F8),FALSE)*'Input Global'!F19)</f>
        <v>84841.196151127282</v>
      </c>
      <c r="G27" s="108">
        <f ca="1">IF(LEFT($A$22,5)="blank",0,VLOOKUP($B$2,'Input General'!$A$229:$H$233,COLUMN(G12),FALSE)*'Input Global'!G$34)+IF(LEFT($A$22,5)="blank",0,VLOOKUP($B$2,dist2wholesale,COLUMN(G8),FALSE)*'Input Global'!G19)</f>
        <v>87397.611430555349</v>
      </c>
      <c r="H27" s="108">
        <f ca="1">IF(LEFT($A$22,5)="blank",0,VLOOKUP($B$2,'Input General'!$A$229:$H$233,COLUMN(H12),FALSE)*'Input Global'!H$34)+IF(LEFT($A$22,5)="blank",0,VLOOKUP($B$2,dist2wholesale,COLUMN(H8),FALSE)*'Input Global'!H19)</f>
        <v>91644.669416582445</v>
      </c>
    </row>
    <row r="28" spans="1:15" x14ac:dyDescent="0.3">
      <c r="A28" t="str">
        <f t="shared" si="1"/>
        <v>Green Schemes</v>
      </c>
      <c r="D28" s="103"/>
      <c r="E28" s="103"/>
      <c r="F28" s="103"/>
      <c r="G28" s="103"/>
      <c r="H28" s="103"/>
    </row>
    <row r="29" spans="1:15" x14ac:dyDescent="0.3">
      <c r="A29" s="11" t="str">
        <f t="shared" si="1"/>
        <v>Feed-in Tariffs</v>
      </c>
      <c r="C29" t="s">
        <v>55</v>
      </c>
      <c r="D29" s="108">
        <f>IF(LEFT($A$22,5)="blank",0,'Input General'!D85+SUMPRODUCT('Input General'!D86:D89,'Input General'!D116:D119)*'Input Global'!D19)</f>
        <v>0</v>
      </c>
      <c r="E29" s="108">
        <f>IF(LEFT($A$22,5)="blank",0,'Input General'!E85+SUMPRODUCT('Input General'!E86:E89,'Input General'!E116:E119)*'Input Global'!E19)</f>
        <v>1488.553030334584</v>
      </c>
      <c r="F29" s="108">
        <f>IF(LEFT($A$22,5)="blank",0,'Input General'!F85+SUMPRODUCT('Input General'!F86:F89,'Input General'!F116:F119)*'Input Global'!F19)</f>
        <v>1498.2146145536015</v>
      </c>
      <c r="G29" s="108">
        <f>IF(LEFT($A$22,5)="blank",0,'Input General'!G85+SUMPRODUCT('Input General'!G86:G89,'Input General'!G116:G119)*'Input Global'!G19)</f>
        <v>1503.9618686445797</v>
      </c>
      <c r="H29" s="108">
        <f>IF(LEFT($A$22,5)="blank",0,'Input General'!H85+SUMPRODUCT('Input General'!H86:H89,'Input General'!H116:H119)*'Input Global'!H19)</f>
        <v>1517.2041040482595</v>
      </c>
    </row>
    <row r="30" spans="1:15" x14ac:dyDescent="0.3">
      <c r="A30" s="11" t="str">
        <f t="shared" si="1"/>
        <v>Carbon costs</v>
      </c>
      <c r="C30" t="s">
        <v>55</v>
      </c>
      <c r="D30" s="108">
        <f ca="1">IF(LEFT($A$22,5)="blank",0,VLOOKUP($B$2,'Input General'!$A$262:$H$266,COLUMN('Input General'!D262),FALSE)*'Input Global'!D$19)</f>
        <v>0</v>
      </c>
      <c r="E30" s="108">
        <f ca="1">IF(LEFT($A$22,5)="blank",0,VLOOKUP($B$2,'Input General'!$A$262:$H$266,COLUMN('Input General'!E262),FALSE)*'Input Global'!E$19)</f>
        <v>0</v>
      </c>
      <c r="F30" s="108">
        <f ca="1">IF(LEFT($A$22,5)="blank",0,VLOOKUP($B$2,'Input General'!$A$262:$H$266,COLUMN('Input General'!F262),FALSE)*'Input Global'!F$19)</f>
        <v>10244.597444220091</v>
      </c>
      <c r="G30" s="108">
        <f ca="1">IF(LEFT($A$22,5)="blank",0,VLOOKUP($B$2,'Input General'!$A$262:$H$266,COLUMN('Input General'!G262),FALSE)*'Input Global'!G$19)</f>
        <v>10494.119096435601</v>
      </c>
      <c r="H30" s="108">
        <f ca="1">IF(LEFT($A$22,5)="blank",0,VLOOKUP($B$2,'Input General'!$A$262:$H$266,COLUMN('Input General'!H262),FALSE)*'Input Global'!H$19)</f>
        <v>10802.904487589049</v>
      </c>
      <c r="I30" s="10"/>
    </row>
    <row r="31" spans="1:15" x14ac:dyDescent="0.3">
      <c r="A31" s="11" t="str">
        <f t="shared" si="1"/>
        <v>Large Scale Renewable Energy Target</v>
      </c>
      <c r="C31" t="s">
        <v>55</v>
      </c>
      <c r="D31" s="108">
        <f ca="1">IF(LEFT($A$22,5)="blank",0,VLOOKUP($B$2,'Input General'!$A325:$H330,COLUMN(D16),FALSE)*'Input Global'!D19)</f>
        <v>1207.2319490745772</v>
      </c>
      <c r="E31" s="108">
        <f ca="1">IF(LEFT($A$22,5)="blank",0,VLOOKUP($B$2,'Input General'!$A325:$H330,COLUMN(E16),FALSE)*'Input Global'!E19)</f>
        <v>2070.6471001134769</v>
      </c>
      <c r="F31" s="108">
        <f ca="1">IF(LEFT($A$22,5)="blank",0,VLOOKUP($B$2,'Input General'!$A325:$H330,COLUMN(F16),FALSE)*'Input Global'!F19)</f>
        <v>3031.3917806135009</v>
      </c>
      <c r="G31" s="108">
        <f ca="1">IF(LEFT($A$22,5)="blank",0,VLOOKUP($B$2,'Input General'!$A325:$H330,COLUMN(G16),FALSE)*'Input Global'!G19)</f>
        <v>3165.2889523550011</v>
      </c>
      <c r="H31" s="108">
        <f ca="1">IF(LEFT($A$22,5)="blank",0,VLOOKUP($B$2,'Input General'!$A325:$H330,COLUMN(H16),FALSE)*'Input Global'!H19)</f>
        <v>3286.0188503971212</v>
      </c>
      <c r="I31" s="10"/>
    </row>
    <row r="32" spans="1:15" x14ac:dyDescent="0.3">
      <c r="A32" s="11" t="str">
        <f t="shared" si="1"/>
        <v>Small Scale Renewable Energy Scheme</v>
      </c>
      <c r="C32" t="s">
        <v>55</v>
      </c>
      <c r="D32" s="108">
        <f ca="1">IF(LEFT($A$22,5)="blank",0,'Input General'!D143*'Input Global'!D$19)</f>
        <v>2085.1764769245315</v>
      </c>
      <c r="E32" s="108">
        <f ca="1">IF(LEFT($A$22,5)="blank",0,'Input General'!E143*'Input Global'!E$19)</f>
        <v>2058.1022527255191</v>
      </c>
      <c r="F32" s="108">
        <f ca="1">IF(LEFT($A$22,5)="blank",0,'Input General'!F143*'Input Global'!F$19)</f>
        <v>2012.2963038669923</v>
      </c>
      <c r="G32" s="108">
        <f ca="1">IF(LEFT($A$22,5)="blank",0,'Input General'!G143*'Input Global'!G$19)</f>
        <v>863.02731456846857</v>
      </c>
      <c r="H32" s="108">
        <f ca="1">IF(LEFT($A$22,5)="blank",0,'Input General'!H143*'Input Global'!H$19)</f>
        <v>735.18370373322568</v>
      </c>
      <c r="I32" s="10"/>
    </row>
    <row r="33" spans="1:15" x14ac:dyDescent="0.3">
      <c r="A33" s="11" t="str">
        <f t="shared" si="1"/>
        <v>Energy Saver Incentive</v>
      </c>
      <c r="C33" t="s">
        <v>55</v>
      </c>
      <c r="D33" s="108">
        <f ca="1">IF(LEFT($A$22,5)="blank",0,VLOOKUP($B$2,'Input General'!$A$165:$H$169,COLUMN(D33),FALSE)*'Input Global'!D$19)</f>
        <v>1848.2570603249551</v>
      </c>
      <c r="E33" s="108">
        <f ca="1">IF(LEFT($A$22,5)="blank",0,VLOOKUP($B$2,'Input General'!$A$165:$H$169,COLUMN(E33),FALSE)*'Input Global'!E$19)</f>
        <v>1824.2590311018121</v>
      </c>
      <c r="F33" s="108">
        <f ca="1">IF(LEFT($A$22,5)="blank",0,VLOOKUP($B$2,'Input General'!$A$165:$H$169,COLUMN(F33),FALSE)*'Input Global'!F$19)</f>
        <v>1737.9227807159082</v>
      </c>
      <c r="G33" s="108">
        <f ca="1">IF(LEFT($A$22,5)="blank",0,VLOOKUP($B$2,'Input General'!$A$165:$H$169,COLUMN(G33),FALSE)*'Input Global'!G$19)</f>
        <v>1693.5057010159676</v>
      </c>
      <c r="H33" s="108">
        <f ca="1">IF(LEFT($A$22,5)="blank",0,VLOOKUP($B$2,'Input General'!$A$165:$H$169,COLUMN(H33),FALSE)*'Input Global'!H$19)</f>
        <v>1660.2185831154577</v>
      </c>
      <c r="I33" s="10"/>
    </row>
    <row r="34" spans="1:15" x14ac:dyDescent="0.3">
      <c r="A34" s="11" t="str">
        <f t="shared" si="1"/>
        <v>blank</v>
      </c>
      <c r="C34" t="s">
        <v>55</v>
      </c>
      <c r="D34" s="108">
        <f ca="1">IF(LEFT($A$22,5)="blank",0,VLOOKUP($B$2,'Input General'!$A$197:$H$201,COLUMN(D34),FALSE)*'Input Global'!D$19)</f>
        <v>0</v>
      </c>
      <c r="E34" s="108">
        <f ca="1">IF(LEFT($A$22,5)="blank",0,VLOOKUP($B$2,'Input General'!$A$197:$H$201,COLUMN(E34),FALSE)*'Input Global'!E$19)</f>
        <v>0</v>
      </c>
      <c r="F34" s="108">
        <f ca="1">IF(LEFT($A$22,5)="blank",0,VLOOKUP($B$2,'Input General'!$A$197:$H$201,COLUMN(F34),FALSE)*'Input Global'!F$19)</f>
        <v>0</v>
      </c>
      <c r="G34" s="108">
        <f ca="1">IF(LEFT($A$22,5)="blank",0,VLOOKUP($B$2,'Input General'!$A$197:$H$201,COLUMN(G34),FALSE)*'Input Global'!G$19)</f>
        <v>0</v>
      </c>
      <c r="H34" s="108">
        <f ca="1">IF(LEFT($A$22,5)="blank",0,VLOOKUP($B$2,'Input General'!$A$197:$H$201,COLUMN(H34),FALSE)*'Input Global'!H$19)</f>
        <v>0</v>
      </c>
      <c r="I34" s="10"/>
    </row>
    <row r="35" spans="1:15" x14ac:dyDescent="0.3">
      <c r="A35" s="12" t="s">
        <v>53</v>
      </c>
      <c r="B35" s="12"/>
      <c r="C35" s="12" t="s">
        <v>55</v>
      </c>
      <c r="D35" s="108">
        <f ca="1">SUM(D23:D34)</f>
        <v>40085.593530928563</v>
      </c>
      <c r="E35" s="108">
        <f t="shared" ref="E35:H35" ca="1" si="2">SUM(E23:E34)</f>
        <v>140525.87327020284</v>
      </c>
      <c r="F35" s="108">
        <f t="shared" ca="1" si="2"/>
        <v>153211.61356311297</v>
      </c>
      <c r="G35" s="108">
        <f t="shared" ca="1" si="2"/>
        <v>158473.54552926953</v>
      </c>
      <c r="H35" s="108">
        <f t="shared" ca="1" si="2"/>
        <v>166847.02758366472</v>
      </c>
    </row>
    <row r="37" spans="1:15" x14ac:dyDescent="0.3">
      <c r="A37" s="8" t="str">
        <f>Dist3</f>
        <v>SP Ausnet</v>
      </c>
    </row>
    <row r="38" spans="1:15" ht="15" x14ac:dyDescent="0.25">
      <c r="A38" s="158"/>
      <c r="B38" s="158"/>
      <c r="C38" s="158"/>
      <c r="D38" s="158"/>
      <c r="E38" s="158"/>
      <c r="F38" s="158"/>
      <c r="G38" s="158"/>
      <c r="H38" s="158"/>
      <c r="K38" s="158"/>
      <c r="L38" s="158"/>
      <c r="M38" s="158"/>
      <c r="N38" s="158"/>
      <c r="O38" s="158"/>
    </row>
    <row r="39" spans="1:15" x14ac:dyDescent="0.3">
      <c r="A39" t="str">
        <f t="shared" ref="A39:A49" si="3">A24</f>
        <v>Transmission</v>
      </c>
      <c r="C39" t="s">
        <v>55</v>
      </c>
      <c r="D39" s="108">
        <f>IF(LEFT($A$37,5)="blank",0,'Input General'!D20+(SUMPRODUCT('Input General'!D21:D24,'Input General'!D121:D124)*'Input Global'!D$20))</f>
        <v>0</v>
      </c>
      <c r="E39" s="108">
        <f>IF(LEFT($A$37,5)="blank",0,'Input General'!E20+(SUMPRODUCT('Input General'!E21:E24,'Input General'!E121:E124)*'Input Global'!E$20))</f>
        <v>5046.1048716151918</v>
      </c>
      <c r="F39" s="108">
        <f>IF(LEFT($A$37,5)="blank",0,'Input General'!F20+(SUMPRODUCT('Input General'!F21:F24,'Input General'!F121:F124)*'Input Global'!F$20))</f>
        <v>5037.6911121676212</v>
      </c>
      <c r="G39" s="108">
        <f>IF(LEFT($A$37,5)="blank",0,'Input General'!G20+(SUMPRODUCT('Input General'!G21:G24,'Input General'!G121:G124)*'Input Global'!G$20))</f>
        <v>5012.3109264832283</v>
      </c>
      <c r="H39" s="108">
        <f>IF(LEFT($A$37,5)="blank",0,'Input General'!H20+(SUMPRODUCT('Input General'!H21:H24,'Input General'!H121:H124)*'Input Global'!H$20))</f>
        <v>5017.2632984979691</v>
      </c>
    </row>
    <row r="40" spans="1:15" x14ac:dyDescent="0.3">
      <c r="A40" t="str">
        <f t="shared" si="3"/>
        <v>Distribution</v>
      </c>
      <c r="C40" t="s">
        <v>55</v>
      </c>
      <c r="D40" s="108">
        <f>IF(LEFT($A$37,5)="blank",0,'Input General'!D52+SUMPRODUCT('Input General'!D53:D56,'Input General'!D121:D124)*'Input Global'!D$20+'Input General'!D73)</f>
        <v>0</v>
      </c>
      <c r="E40" s="108">
        <f>IF(LEFT($A$37,5)="blank",0,'Input General'!E52+SUMPRODUCT('Input General'!E53:E56,'Input General'!E121:E124)*'Input Global'!E$20+'Input General'!E73)</f>
        <v>43163.908470428025</v>
      </c>
      <c r="F40" s="108">
        <f>IF(LEFT($A$37,5)="blank",0,'Input General'!F52+SUMPRODUCT('Input General'!F53:F56,'Input General'!F121:F124)*'Input Global'!F$20+'Input General'!F73)</f>
        <v>46847.272676484659</v>
      </c>
      <c r="G40" s="108">
        <f>IF(LEFT($A$37,5)="blank",0,'Input General'!G52+SUMPRODUCT('Input General'!G53:G56,'Input General'!G121:G124)*'Input Global'!G$20+'Input General'!G73)</f>
        <v>51313.444171889321</v>
      </c>
      <c r="H40" s="108">
        <f>IF(LEFT($A$37,5)="blank",0,'Input General'!H52+SUMPRODUCT('Input General'!H53:H56,'Input General'!H121:H124)*'Input Global'!H$20+'Input General'!H73)</f>
        <v>56363.478774462943</v>
      </c>
    </row>
    <row r="41" spans="1:15" ht="15" x14ac:dyDescent="0.25">
      <c r="A41" s="158"/>
      <c r="B41" s="158"/>
      <c r="C41" s="158"/>
      <c r="D41" s="158"/>
      <c r="E41" s="158"/>
      <c r="F41" s="158"/>
      <c r="G41" s="158"/>
      <c r="H41" s="158"/>
    </row>
    <row r="42" spans="1:15" x14ac:dyDescent="0.3">
      <c r="A42" t="str">
        <f t="shared" si="3"/>
        <v>Retail and Wholesale</v>
      </c>
      <c r="C42" t="s">
        <v>55</v>
      </c>
      <c r="D42" s="108">
        <f ca="1">IF(LEFT($A$37,5)="blank",0,VLOOKUP($B$2,'Input General'!$A$235:$H$239,COLUMN(D27),FALSE)*'Input Global'!D$35)+IF(LEFT($A$37,5)="blank",0,VLOOKUP($B$2,dist3wholesale,COLUMN(D38),FALSE)*'Input Global'!D20)</f>
        <v>37302.770754850208</v>
      </c>
      <c r="E42" s="108">
        <f ca="1">IF(LEFT($A$37,5)="blank",0,VLOOKUP($B$2,'Input General'!$A$235:$H$239,COLUMN(E27),FALSE)*'Input Global'!E$35)+IF(LEFT($A$37,5)="blank",0,VLOOKUP($B$2,dist3wholesale,COLUMN(E38),FALSE)*'Input Global'!E20)</f>
        <v>80557.419685131259</v>
      </c>
      <c r="F42" s="108">
        <f ca="1">IF(LEFT($A$37,5)="blank",0,VLOOKUP($B$2,'Input General'!$A$235:$H$239,COLUMN(F27),FALSE)*'Input Global'!F$35)+IF(LEFT($A$37,5)="blank",0,VLOOKUP($B$2,dist3wholesale,COLUMN(F38),FALSE)*'Input Global'!F20)</f>
        <v>76208.835987843413</v>
      </c>
      <c r="G42" s="108">
        <f ca="1">IF(LEFT($A$37,5)="blank",0,VLOOKUP($B$2,'Input General'!$A$235:$H$239,COLUMN(G27),FALSE)*'Input Global'!G$35)+IF(LEFT($A$37,5)="blank",0,VLOOKUP($B$2,dist3wholesale,COLUMN(G38),FALSE)*'Input Global'!G20)</f>
        <v>80115.289022345358</v>
      </c>
      <c r="H42" s="108">
        <f ca="1">IF(LEFT($A$37,5)="blank",0,VLOOKUP($B$2,'Input General'!$A$235:$H$239,COLUMN(H27),FALSE)*'Input Global'!H$35)+IF(LEFT($A$37,5)="blank",0,VLOOKUP($B$2,dist3wholesale,COLUMN(H38),FALSE)*'Input Global'!H20)</f>
        <v>81524.787061944779</v>
      </c>
    </row>
    <row r="43" spans="1:15" x14ac:dyDescent="0.3">
      <c r="A43" t="str">
        <f t="shared" si="3"/>
        <v>Green Schemes</v>
      </c>
      <c r="D43" s="103"/>
      <c r="E43" s="103"/>
      <c r="F43" s="103"/>
      <c r="G43" s="103"/>
      <c r="H43" s="103"/>
    </row>
    <row r="44" spans="1:15" x14ac:dyDescent="0.3">
      <c r="A44" s="11" t="str">
        <f t="shared" si="3"/>
        <v>Feed-in Tariffs</v>
      </c>
      <c r="C44" t="s">
        <v>55</v>
      </c>
      <c r="D44" s="108">
        <f>IF(LEFT($A$37,5)="blank",0,'Input General'!D91+SUMPRODUCT('Input General'!D92:D95,'Input General'!D121:D124)*'Input Global'!D$20)</f>
        <v>0</v>
      </c>
      <c r="E44" s="108">
        <f>IF(LEFT($A$37,5)="blank",0,'Input General'!E91+SUMPRODUCT('Input General'!E92:E95,'Input General'!E121:E124)*'Input Global'!E$20)</f>
        <v>1003.0915487369019</v>
      </c>
      <c r="F44" s="108">
        <f>IF(LEFT($A$37,5)="blank",0,'Input General'!F91+SUMPRODUCT('Input General'!F92:F95,'Input General'!F121:F124)*'Input Global'!F$20)</f>
        <v>1010.9887023359018</v>
      </c>
      <c r="G44" s="108">
        <f>IF(LEFT($A$37,5)="blank",0,'Input General'!G91+SUMPRODUCT('Input General'!G92:G95,'Input General'!G121:G124)*'Input Global'!G$20)</f>
        <v>1016.4919020208263</v>
      </c>
      <c r="H44" s="108">
        <f>IF(LEFT($A$37,5)="blank",0,'Input General'!H91+SUMPRODUCT('Input General'!H92:H95,'Input General'!H121:H124)*'Input Global'!H$20)</f>
        <v>1026.7165674206813</v>
      </c>
    </row>
    <row r="45" spans="1:15" x14ac:dyDescent="0.3">
      <c r="A45" s="11" t="str">
        <f t="shared" si="3"/>
        <v>Carbon costs</v>
      </c>
      <c r="C45" t="s">
        <v>55</v>
      </c>
      <c r="D45" s="108">
        <f ca="1">IF(LEFT($A$37,5)="blank",0,VLOOKUP($B$2,'Input General'!$A$268:$H$272,COLUMN('Input General'!D268),FALSE)*'Input Global'!D$20)</f>
        <v>0</v>
      </c>
      <c r="E45" s="108">
        <f ca="1">IF(LEFT($A$37,5)="blank",0,VLOOKUP($B$2,'Input General'!$A$268:$H$272,COLUMN('Input General'!E268),FALSE)*'Input Global'!E$20)</f>
        <v>0</v>
      </c>
      <c r="F45" s="108">
        <f ca="1">IF(LEFT($A$37,5)="blank",0,VLOOKUP($B$2,'Input General'!$A$268:$H$272,COLUMN('Input General'!F268),FALSE)*'Input Global'!F$20)</f>
        <v>10244.597444220091</v>
      </c>
      <c r="G45" s="108">
        <f ca="1">IF(LEFT($A$37,5)="blank",0,VLOOKUP($B$2,'Input General'!$A$268:$H$272,COLUMN('Input General'!G268),FALSE)*'Input Global'!G$20)</f>
        <v>10756.581091367465</v>
      </c>
      <c r="H45" s="108">
        <f ca="1">IF(LEFT($A$37,5)="blank",0,VLOOKUP($B$2,'Input General'!$A$268:$H$272,COLUMN('Input General'!H268),FALSE)*'Input Global'!H$20)</f>
        <v>10802.69460835397</v>
      </c>
    </row>
    <row r="46" spans="1:15" x14ac:dyDescent="0.3">
      <c r="A46" s="11" t="str">
        <f t="shared" si="3"/>
        <v>Large Scale Renewable Energy Target</v>
      </c>
      <c r="C46" t="s">
        <v>55</v>
      </c>
      <c r="D46" s="108">
        <f ca="1">IF(LEFT($A$37,5)="blank",0,VLOOKUP($B$2,'Input General'!$A331:$H336,COLUMN(D16),FALSE)*'Input Global'!D20)</f>
        <v>1207.2319490745772</v>
      </c>
      <c r="E46" s="108">
        <f ca="1">IF(LEFT($A$37,5)="blank",0,VLOOKUP($B$2,'Input General'!$A331:$H336,COLUMN(E16),FALSE)*'Input Global'!E20)</f>
        <v>2070.6471001134769</v>
      </c>
      <c r="F46" s="108">
        <f ca="1">IF(LEFT($A$37,5)="blank",0,VLOOKUP($B$2,'Input General'!$A331:$H336,COLUMN(F16),FALSE)*'Input Global'!F20)</f>
        <v>3031.3917806135009</v>
      </c>
      <c r="G46" s="108">
        <f ca="1">IF(LEFT($A$37,5)="blank",0,VLOOKUP($B$2,'Input General'!$A331:$H336,COLUMN(G16),FALSE)*'Input Global'!G20)</f>
        <v>3244.4211761638762</v>
      </c>
      <c r="H46" s="108">
        <f ca="1">IF(LEFT($A$37,5)="blank",0,VLOOKUP($B$2,'Input General'!$A331:$H336,COLUMN(H16),FALSE)*'Input Global'!H20)</f>
        <v>3286.0188503971217</v>
      </c>
    </row>
    <row r="47" spans="1:15" x14ac:dyDescent="0.3">
      <c r="A47" s="11" t="str">
        <f t="shared" si="3"/>
        <v>Small Scale Renewable Energy Scheme</v>
      </c>
      <c r="C47" t="s">
        <v>55</v>
      </c>
      <c r="D47" s="108">
        <f ca="1">IF(LEFT($A$37,5)="blank",0,'Input General'!D147*'Input Global'!D$20)</f>
        <v>2085.1764769245315</v>
      </c>
      <c r="E47" s="108">
        <f ca="1">IF(LEFT($A$37,5)="blank",0,'Input General'!E147*'Input Global'!E$20)</f>
        <v>2474.3240707424361</v>
      </c>
      <c r="F47" s="108">
        <f ca="1">IF(LEFT($A$37,5)="blank",0,'Input General'!F147*'Input Global'!F$20)</f>
        <v>1317.9953755290896</v>
      </c>
      <c r="G47" s="108">
        <f ca="1">IF(LEFT($A$37,5)="blank",0,'Input General'!G147*'Input Global'!G$20)</f>
        <v>565.25771446813451</v>
      </c>
      <c r="H47" s="108">
        <f ca="1">IF(LEFT($A$37,5)="blank",0,'Input General'!H147*'Input Global'!H$20)</f>
        <v>481.52387887543739</v>
      </c>
    </row>
    <row r="48" spans="1:15" x14ac:dyDescent="0.3">
      <c r="A48" s="11" t="str">
        <f t="shared" si="3"/>
        <v>Energy Saver Incentive</v>
      </c>
      <c r="C48" t="s">
        <v>55</v>
      </c>
      <c r="D48" s="108">
        <f ca="1">IF(LEFT($A$37,5)="blank",0,VLOOKUP($B$2,'Input General'!$A$171:$H$175,COLUMN(D33),FALSE)*'Input Global'!D$20)</f>
        <v>1848.2570603249551</v>
      </c>
      <c r="E48" s="108">
        <f ca="1">IF(LEFT($A$37,5)="blank",0,VLOOKUP($B$2,'Input General'!$A$171:$H$175,COLUMN(E33),FALSE)*'Input Global'!E$20)</f>
        <v>1824.2590311018121</v>
      </c>
      <c r="F48" s="108">
        <f ca="1">IF(LEFT($A$37,5)="blank",0,VLOOKUP($B$2,'Input General'!$A$171:$H$175,COLUMN(F33),FALSE)*'Input Global'!F$20)</f>
        <v>1737.9227807159082</v>
      </c>
      <c r="G48" s="108">
        <f ca="1">IF(LEFT($A$37,5)="blank",0,VLOOKUP($B$2,'Input General'!$A$171:$H$175,COLUMN(G33),FALSE)*'Input Global'!G$20)</f>
        <v>1693.5057010159676</v>
      </c>
      <c r="H48" s="108">
        <f ca="1">IF(LEFT($A$37,5)="blank",0,VLOOKUP($B$2,'Input General'!$A$171:$H$175,COLUMN(H33),FALSE)*'Input Global'!H$20)</f>
        <v>1660.2185831154577</v>
      </c>
    </row>
    <row r="49" spans="1:16" x14ac:dyDescent="0.3">
      <c r="A49" t="str">
        <f t="shared" si="3"/>
        <v>blank</v>
      </c>
      <c r="C49" t="s">
        <v>55</v>
      </c>
      <c r="D49" s="108">
        <f ca="1">IF(LEFT($A$37,5)="blank",0,VLOOKUP($B$2,'Input General'!$A$203:$H$207,COLUMN(D49),FALSE)*'Input Global'!D$20)</f>
        <v>0</v>
      </c>
      <c r="E49" s="108">
        <f ca="1">IF(LEFT($A$37,5)="blank",0,VLOOKUP($B$2,'Input General'!$A$203:$H$207,COLUMN(E49),FALSE)*'Input Global'!E$20)</f>
        <v>0</v>
      </c>
      <c r="F49" s="108">
        <f ca="1">IF(LEFT($A$37,5)="blank",0,VLOOKUP($B$2,'Input General'!$A$203:$H$207,COLUMN(F49),FALSE)*'Input Global'!F$20)</f>
        <v>0</v>
      </c>
      <c r="G49" s="108">
        <f ca="1">IF(LEFT($A$37,5)="blank",0,VLOOKUP($B$2,'Input General'!$A$203:$H$207,COLUMN(G49),FALSE)*'Input Global'!G$20)</f>
        <v>0</v>
      </c>
      <c r="H49" s="108">
        <f ca="1">IF(LEFT($A$37,5)="blank",0,VLOOKUP($B$2,'Input General'!$A$203:$H$207,COLUMN(H49),FALSE)*'Input Global'!H$20)</f>
        <v>0</v>
      </c>
    </row>
    <row r="50" spans="1:16" x14ac:dyDescent="0.3">
      <c r="A50" s="12" t="s">
        <v>53</v>
      </c>
      <c r="B50" s="12"/>
      <c r="C50" s="12" t="s">
        <v>55</v>
      </c>
      <c r="D50" s="108">
        <f ca="1">SUM(D38:D49)</f>
        <v>42443.436241174277</v>
      </c>
      <c r="E50" s="108">
        <f t="shared" ref="E50:H50" ca="1" si="4">SUM(E38:E49)</f>
        <v>136139.75477786909</v>
      </c>
      <c r="F50" s="108">
        <f t="shared" ca="1" si="4"/>
        <v>145436.69585991019</v>
      </c>
      <c r="G50" s="108">
        <f t="shared" ca="1" si="4"/>
        <v>153717.30170575419</v>
      </c>
      <c r="H50" s="108">
        <f t="shared" ca="1" si="4"/>
        <v>160162.70162306839</v>
      </c>
    </row>
    <row r="52" spans="1:16" x14ac:dyDescent="0.3">
      <c r="A52" s="8" t="str">
        <f>Dist4</f>
        <v>United</v>
      </c>
    </row>
    <row r="53" spans="1:16" ht="15" x14ac:dyDescent="0.25">
      <c r="A53" s="158"/>
      <c r="B53" s="158"/>
      <c r="C53" s="158"/>
      <c r="D53" s="158"/>
      <c r="E53" s="158"/>
      <c r="F53" s="158"/>
      <c r="G53" s="158"/>
      <c r="H53" s="158"/>
    </row>
    <row r="54" spans="1:16" x14ac:dyDescent="0.3">
      <c r="A54" t="str">
        <f t="shared" ref="A54:A64" si="5">A39</f>
        <v>Transmission</v>
      </c>
      <c r="C54" t="s">
        <v>55</v>
      </c>
      <c r="D54" s="108">
        <f>IF(LEFT($A$52,5)="blank",0,'Input General'!D26+(SUMPRODUCT('Input General'!D27:D30,'Input General'!D126:D129)*'Input Global'!D$21))</f>
        <v>0</v>
      </c>
      <c r="E54" s="108">
        <f>IF(LEFT($A$52,5)="blank",0,'Input General'!E26+(SUMPRODUCT('Input General'!E27:E30,'Input General'!E126:E129)*'Input Global'!E$21))</f>
        <v>7746.8799701304106</v>
      </c>
      <c r="F54" s="108">
        <f>IF(LEFT($A$52,5)="blank",0,'Input General'!F26+(SUMPRODUCT('Input General'!F27:F30,'Input General'!F126:F129)*'Input Global'!F$21))</f>
        <v>7733.9630002702461</v>
      </c>
      <c r="G54" s="108">
        <f>IF(LEFT($A$52,5)="blank",0,'Input General'!G26+(SUMPRODUCT('Input General'!G27:G30,'Input General'!G126:G129)*'Input Global'!G$21))</f>
        <v>7694.9988373923388</v>
      </c>
      <c r="H54" s="108">
        <f>IF(LEFT($A$52,5)="blank",0,'Input General'!H26+(SUMPRODUCT('Input General'!H27:H30,'Input General'!H126:H129)*'Input Global'!H$21))</f>
        <v>7702.6018168273158</v>
      </c>
      <c r="L54" s="158"/>
      <c r="M54" s="158"/>
      <c r="N54" s="158"/>
      <c r="O54" s="158"/>
      <c r="P54" s="158"/>
    </row>
    <row r="55" spans="1:16" x14ac:dyDescent="0.3">
      <c r="A55" t="str">
        <f t="shared" si="5"/>
        <v>Distribution</v>
      </c>
      <c r="C55" t="s">
        <v>55</v>
      </c>
      <c r="D55" s="108">
        <f>IF(LEFT($A$52,5)="blank",0,'Input General'!D58+SUMPRODUCT('Input General'!D59:D62,'Input General'!D126:D129)*'Input Global'!D$21+'Input General'!D74)</f>
        <v>0</v>
      </c>
      <c r="E55" s="108">
        <f>IF(LEFT($A$52,5)="blank",0,'Input General'!E58+SUMPRODUCT('Input General'!E59:E62,'Input General'!E126:E129)*'Input Global'!E$21+'Input General'!E74)</f>
        <v>36568.778951105123</v>
      </c>
      <c r="F55" s="108">
        <f>IF(LEFT($A$52,5)="blank",0,'Input General'!F58+SUMPRODUCT('Input General'!F59:F62,'Input General'!F126:F129)*'Input Global'!F$21+'Input General'!F74)</f>
        <v>40023.874109077631</v>
      </c>
      <c r="G55" s="108">
        <f>IF(LEFT($A$52,5)="blank",0,'Input General'!G58+SUMPRODUCT('Input General'!G59:G62,'Input General'!G126:G129)*'Input Global'!G$21+'Input General'!G74)</f>
        <v>45032.909324059874</v>
      </c>
      <c r="H55" s="108">
        <f>IF(LEFT($A$52,5)="blank",0,'Input General'!H58+SUMPRODUCT('Input General'!H59:H62,'Input General'!H126:H129)*'Input Global'!H$21+'Input General'!H74)</f>
        <v>50812.851016141794</v>
      </c>
    </row>
    <row r="56" spans="1:16" ht="15" x14ac:dyDescent="0.25">
      <c r="A56" s="158"/>
      <c r="B56" s="158"/>
      <c r="C56" s="158"/>
      <c r="D56" s="158"/>
      <c r="E56" s="158"/>
      <c r="F56" s="158"/>
      <c r="G56" s="158"/>
      <c r="H56" s="158"/>
    </row>
    <row r="57" spans="1:16" x14ac:dyDescent="0.3">
      <c r="A57" t="str">
        <f t="shared" si="5"/>
        <v>Retail and Wholesale</v>
      </c>
      <c r="C57" t="s">
        <v>55</v>
      </c>
      <c r="D57" s="108">
        <f ca="1">IF(LEFT($A$52,5)="blank",0,VLOOKUP($B$2,'Input General'!$A$241:$H$245,COLUMN(D57),FALSE)*'Input Global'!D$36)+IF(LEFT($A$52,5)="blank",0,VLOOKUP($B$2,dist4wholesale,COLUMN(D53),FALSE)*'Input Global'!D21)</f>
        <v>37554.806443901856</v>
      </c>
      <c r="E57" s="108">
        <f ca="1">IF(LEFT($A$52,5)="blank",0,VLOOKUP($B$2,'Input General'!$A$241:$H$245,COLUMN(E57),FALSE)*'Input Global'!E$36)+IF(LEFT($A$52,5)="blank",0,VLOOKUP($B$2,dist4wholesale,COLUMN(E53),FALSE)*'Input Global'!E21)</f>
        <v>77956.382499819636</v>
      </c>
      <c r="F57" s="108">
        <f ca="1">IF(LEFT($A$52,5)="blank",0,VLOOKUP($B$2,'Input General'!$A$241:$H$245,COLUMN(F57),FALSE)*'Input Global'!F$36)+IF(LEFT($A$52,5)="blank",0,VLOOKUP($B$2,dist4wholesale,COLUMN(F53),FALSE)*'Input Global'!F21)</f>
        <v>75576.2900799114</v>
      </c>
      <c r="G57" s="108">
        <f ca="1">IF(LEFT($A$52,5)="blank",0,VLOOKUP($B$2,'Input General'!$A$241:$H$245,COLUMN(G57),FALSE)*'Input Global'!G$36)+IF(LEFT($A$52,5)="blank",0,VLOOKUP($B$2,dist4wholesale,COLUMN(G53),FALSE)*'Input Global'!G21)</f>
        <v>78507.248451217456</v>
      </c>
      <c r="H57" s="108">
        <f ca="1">IF(LEFT($A$52,5)="blank",0,VLOOKUP($B$2,'Input General'!$A$241:$H$245,COLUMN(H57),FALSE)*'Input Global'!H$36)+IF(LEFT($A$52,5)="blank",0,VLOOKUP($B$2,dist4wholesale,COLUMN(H53),FALSE)*'Input Global'!H21)</f>
        <v>79576.505642967735</v>
      </c>
    </row>
    <row r="58" spans="1:16" x14ac:dyDescent="0.3">
      <c r="A58" t="str">
        <f t="shared" si="5"/>
        <v>Green Schemes</v>
      </c>
      <c r="D58" s="103"/>
      <c r="E58" s="103"/>
      <c r="F58" s="103"/>
      <c r="G58" s="103"/>
      <c r="H58" s="103"/>
    </row>
    <row r="59" spans="1:16" x14ac:dyDescent="0.3">
      <c r="A59" s="11" t="str">
        <f t="shared" si="5"/>
        <v>Feed-in Tariffs</v>
      </c>
      <c r="C59" t="s">
        <v>55</v>
      </c>
      <c r="D59" s="108">
        <f>IF(LEFT($A$52,5)="blank",0,'Input General'!D97+SUMPRODUCT('Input General'!D98:D101,'Input General'!D126:D129)*'Input Global'!D$21)</f>
        <v>0</v>
      </c>
      <c r="E59" s="108">
        <f>IF(LEFT($A$52,5)="blank",0,'Input General'!E97+SUMPRODUCT('Input General'!E98:E101,'Input General'!E126:E129)*'Input Global'!E$21)</f>
        <v>721.78750000000002</v>
      </c>
      <c r="F59" s="108">
        <f>IF(LEFT($A$52,5)="blank",0,'Input General'!F97+SUMPRODUCT('Input General'!F98:F101,'Input General'!F126:F129)*'Input Global'!F$21)</f>
        <v>739.83218749999992</v>
      </c>
      <c r="G59" s="108">
        <f>IF(LEFT($A$52,5)="blank",0,'Input General'!G97+SUMPRODUCT('Input General'!G98:G101,'Input General'!G126:G129)*'Input Global'!G$21)</f>
        <v>758.32799218749983</v>
      </c>
      <c r="H59" s="108">
        <f>IF(LEFT($A$52,5)="blank",0,'Input General'!H97+SUMPRODUCT('Input General'!H98:H101,'Input General'!H126:H129)*'Input Global'!H$21)</f>
        <v>777.28619199218724</v>
      </c>
    </row>
    <row r="60" spans="1:16" x14ac:dyDescent="0.3">
      <c r="A60" s="11" t="str">
        <f t="shared" si="5"/>
        <v>Carbon costs</v>
      </c>
      <c r="C60" t="s">
        <v>55</v>
      </c>
      <c r="D60" s="108">
        <f ca="1">IF(LEFT($A$52,5)="blank",0,VLOOKUP($B$2,'Input General'!$A$274:$H$278,COLUMN(D60),FALSE)*'Input Global'!D$21)</f>
        <v>0</v>
      </c>
      <c r="E60" s="108">
        <f ca="1">IF(LEFT($A$52,5)="blank",0,VLOOKUP($B$2,'Input General'!$A$274:$H$278,COLUMN(E60),FALSE)*'Input Global'!E$21)</f>
        <v>0</v>
      </c>
      <c r="F60" s="108">
        <f ca="1">IF(LEFT($A$52,5)="blank",0,VLOOKUP($B$2,'Input General'!$A$274:$H$278,COLUMN(F60),FALSE)*'Input Global'!F$21)</f>
        <v>10244.597444220091</v>
      </c>
      <c r="G60" s="108">
        <f ca="1">IF(LEFT($A$52,5)="blank",0,VLOOKUP($B$2,'Input General'!$A$274:$H$278,COLUMN(G60),FALSE)*'Input Global'!G$21)</f>
        <v>10497.15692017802</v>
      </c>
      <c r="H60" s="108">
        <f ca="1">IF(LEFT($A$52,5)="blank",0,VLOOKUP($B$2,'Input General'!$A$274:$H$278,COLUMN(H60),FALSE)*'Input Global'!H$21)</f>
        <v>10801.73285593728</v>
      </c>
    </row>
    <row r="61" spans="1:16" x14ac:dyDescent="0.3">
      <c r="A61" s="11" t="str">
        <f t="shared" si="5"/>
        <v>Large Scale Renewable Energy Target</v>
      </c>
      <c r="C61" t="s">
        <v>55</v>
      </c>
      <c r="D61" s="108">
        <f ca="1">IF(LEFT($A$52,5)="blank",0,VLOOKUP($B$2,'Input General'!$A338:$H342,COLUMN(D61),FALSE)*'Input Global'!D21)</f>
        <v>1207.2319490745772</v>
      </c>
      <c r="E61" s="108">
        <f ca="1">IF(LEFT($A$52,5)="blank",0,VLOOKUP($B$2,'Input General'!$A338:$H342,COLUMN(E61),FALSE)*'Input Global'!E21)</f>
        <v>2070.6471001134769</v>
      </c>
      <c r="F61" s="108">
        <f ca="1">IF(LEFT($A$52,5)="blank",0,VLOOKUP($B$2,'Input General'!$A338:$H342,COLUMN(F61),FALSE)*'Input Global'!F21)</f>
        <v>3031.3917806135009</v>
      </c>
      <c r="G61" s="108">
        <f ca="1">IF(LEFT($A$52,5)="blank",0,VLOOKUP($B$2,'Input General'!$A338:$H342,COLUMN(G61),FALSE)*'Input Global'!G21)</f>
        <v>3165.2889523550011</v>
      </c>
      <c r="H61" s="108">
        <f ca="1">IF(LEFT($A$52,5)="blank",0,VLOOKUP($B$2,'Input General'!$A338:$H342,COLUMN(H61),FALSE)*'Input Global'!H21)</f>
        <v>3286.0188503971212</v>
      </c>
    </row>
    <row r="62" spans="1:16" x14ac:dyDescent="0.3">
      <c r="A62" s="11" t="str">
        <f t="shared" si="5"/>
        <v>Small Scale Renewable Energy Scheme</v>
      </c>
      <c r="C62" t="s">
        <v>55</v>
      </c>
      <c r="D62" s="108">
        <f ca="1">IF(LEFT($A$52,5)="blank",0,'Input General'!D151*'Input Global'!D$21)</f>
        <v>2085.1764769245315</v>
      </c>
      <c r="E62" s="108">
        <f ca="1">IF(LEFT($A$52,5)="blank",0,'Input General'!E151*'Input Global'!E$21)</f>
        <v>2474.3240707424361</v>
      </c>
      <c r="F62" s="108">
        <f ca="1">IF(LEFT($A$52,5)="blank",0,'Input General'!F151*'Input Global'!F$21)</f>
        <v>1317.9953755290896</v>
      </c>
      <c r="G62" s="108">
        <f ca="1">IF(LEFT($A$52,5)="blank",0,'Input General'!G151*'Input Global'!G$21)</f>
        <v>565.25771446813451</v>
      </c>
      <c r="H62" s="108">
        <f ca="1">IF(LEFT($A$52,5)="blank",0,'Input General'!H151*'Input Global'!H$21)</f>
        <v>481.52387887543739</v>
      </c>
    </row>
    <row r="63" spans="1:16" x14ac:dyDescent="0.3">
      <c r="A63" s="11" t="str">
        <f t="shared" si="5"/>
        <v>Energy Saver Incentive</v>
      </c>
      <c r="C63" t="s">
        <v>55</v>
      </c>
      <c r="D63" s="108">
        <f ca="1">IF(LEFT($A$52,5)="blank",0,VLOOKUP($B$2,'Input General'!$A$177:$H$181,COLUMN(D48),FALSE)*'Input Global'!D$21)</f>
        <v>1848.2570603249551</v>
      </c>
      <c r="E63" s="108">
        <f ca="1">IF(LEFT($A$52,5)="blank",0,VLOOKUP($B$2,'Input General'!$A$177:$H$181,COLUMN(E48),FALSE)*'Input Global'!E$21)</f>
        <v>1824.2590311018121</v>
      </c>
      <c r="F63" s="108">
        <f ca="1">IF(LEFT($A$52,5)="blank",0,VLOOKUP($B$2,'Input General'!$A$177:$H$181,COLUMN(F48),FALSE)*'Input Global'!F$21)</f>
        <v>1737.9227807159082</v>
      </c>
      <c r="G63" s="108">
        <f ca="1">IF(LEFT($A$52,5)="blank",0,VLOOKUP($B$2,'Input General'!$A$177:$H$181,COLUMN(G48),FALSE)*'Input Global'!G$21)</f>
        <v>1693.5057010159676</v>
      </c>
      <c r="H63" s="108">
        <f ca="1">IF(LEFT($A$52,5)="blank",0,VLOOKUP($B$2,'Input General'!$A$177:$H$181,COLUMN(H48),FALSE)*'Input Global'!H$21)</f>
        <v>1660.2185831154577</v>
      </c>
    </row>
    <row r="64" spans="1:16" x14ac:dyDescent="0.3">
      <c r="A64" s="11" t="str">
        <f t="shared" si="5"/>
        <v>blank</v>
      </c>
      <c r="C64" t="s">
        <v>55</v>
      </c>
      <c r="D64" s="108">
        <f ca="1">IF(LEFT($A$52,5)="blank",0,VLOOKUP($B$2,'Input General'!$A$209:$H$213,COLUMN(D64),FALSE)*'Input Global'!D$21)</f>
        <v>0</v>
      </c>
      <c r="E64" s="108">
        <f ca="1">IF(LEFT($A$52,5)="blank",0,VLOOKUP($B$2,'Input General'!$A$209:$H$213,COLUMN(E64),FALSE)*'Input Global'!E$21)</f>
        <v>0</v>
      </c>
      <c r="F64" s="108">
        <f ca="1">IF(LEFT($A$52,5)="blank",0,VLOOKUP($B$2,'Input General'!$A$209:$H$213,COLUMN(F64),FALSE)*'Input Global'!F$21)</f>
        <v>0</v>
      </c>
      <c r="G64" s="108">
        <f ca="1">IF(LEFT($A$52,5)="blank",0,VLOOKUP($B$2,'Input General'!$A$209:$H$213,COLUMN(G64),FALSE)*'Input Global'!G$21)</f>
        <v>0</v>
      </c>
      <c r="H64" s="108">
        <f ca="1">IF(LEFT($A$52,5)="blank",0,VLOOKUP($B$2,'Input General'!$A$209:$H$213,COLUMN(H64),FALSE)*'Input Global'!H$21)</f>
        <v>0</v>
      </c>
    </row>
    <row r="65" spans="1:15" x14ac:dyDescent="0.3">
      <c r="A65" s="12" t="s">
        <v>53</v>
      </c>
      <c r="B65" s="12"/>
      <c r="C65" s="12" t="s">
        <v>55</v>
      </c>
      <c r="D65" s="108">
        <f ca="1">SUM(D53:D64)</f>
        <v>42695.471930225925</v>
      </c>
      <c r="E65" s="108">
        <f t="shared" ref="E65:H65" ca="1" si="6">SUM(E53:E64)</f>
        <v>129363.05912301291</v>
      </c>
      <c r="F65" s="108">
        <f t="shared" ca="1" si="6"/>
        <v>140405.86675783788</v>
      </c>
      <c r="G65" s="108">
        <f t="shared" ca="1" si="6"/>
        <v>147914.69389287429</v>
      </c>
      <c r="H65" s="108">
        <f t="shared" ca="1" si="6"/>
        <v>155098.73883625434</v>
      </c>
    </row>
    <row r="66" spans="1:15" x14ac:dyDescent="0.3">
      <c r="D66" s="102"/>
      <c r="E66" s="102"/>
      <c r="F66" s="102"/>
      <c r="G66" s="102"/>
      <c r="H66" s="102"/>
    </row>
    <row r="67" spans="1:15" x14ac:dyDescent="0.3">
      <c r="A67" s="8" t="str">
        <f>Dist5</f>
        <v>Jemena</v>
      </c>
    </row>
    <row r="68" spans="1:15" ht="15" x14ac:dyDescent="0.25">
      <c r="A68" s="158"/>
      <c r="B68" s="158"/>
      <c r="C68" s="158"/>
      <c r="D68" s="158"/>
      <c r="E68" s="158"/>
      <c r="F68" s="158"/>
      <c r="G68" s="158"/>
      <c r="H68" s="158"/>
    </row>
    <row r="69" spans="1:15" x14ac:dyDescent="0.3">
      <c r="A69" t="str">
        <f t="shared" ref="A69:A79" si="7">A54</f>
        <v>Transmission</v>
      </c>
      <c r="C69" t="s">
        <v>55</v>
      </c>
      <c r="D69" s="108">
        <f>IF(LEFT($A$67,5)="blank",0,'Input General'!D32+(SUMPRODUCT('Input General'!D33:D36,'Input General'!D131:D134)*'Input Global'!D$22))</f>
        <v>0</v>
      </c>
      <c r="E69" s="108">
        <f>IF(LEFT($A$67,5)="blank",0,'Input General'!E32+(SUMPRODUCT('Input General'!E33:E36,'Input General'!E131:E134)*'Input Global'!E$22))</f>
        <v>4696.4309826740309</v>
      </c>
      <c r="F69" s="108">
        <f>IF(LEFT($A$67,5)="blank",0,'Input General'!F32+(SUMPRODUCT('Input General'!F33:F36,'Input General'!F131:F134)*'Input Global'!F$22))</f>
        <v>4696.0654467268905</v>
      </c>
      <c r="G69" s="108">
        <f>IF(LEFT($A$67,5)="blank",0,'Input General'!G32+(SUMPRODUCT('Input General'!G33:G36,'Input General'!G131:G134)*'Input Global'!G$22))</f>
        <v>4681.1593617962271</v>
      </c>
      <c r="H69" s="108">
        <f>IF(LEFT($A$67,5)="blank",0,'Input General'!H32+(SUMPRODUCT('Input General'!H33:H36,'Input General'!H131:H134)*'Input Global'!H$22))</f>
        <v>4692.6580076502969</v>
      </c>
      <c r="K69" s="158"/>
      <c r="L69" s="158"/>
      <c r="M69" s="158"/>
      <c r="N69" s="158"/>
      <c r="O69" s="158"/>
    </row>
    <row r="70" spans="1:15" x14ac:dyDescent="0.3">
      <c r="A70" t="str">
        <f t="shared" si="7"/>
        <v>Distribution</v>
      </c>
      <c r="C70" t="s">
        <v>55</v>
      </c>
      <c r="D70" s="108">
        <f>IF(LEFT($A$67,5)="blank",0,'Input General'!D64+SUMPRODUCT('Input General'!D65:D68,'Input General'!D131:D134)*'Input Global'!D$22+'Input General'!D75)</f>
        <v>0</v>
      </c>
      <c r="E70" s="108">
        <f>IF(LEFT($A$67,5)="blank",0,'Input General'!E64+SUMPRODUCT('Input General'!E65:E68,'Input General'!E131:E134)*'Input Global'!E$22+'Input General'!E75)</f>
        <v>46034.113542638501</v>
      </c>
      <c r="F70" s="108">
        <f>IF(LEFT($A$67,5)="blank",0,'Input General'!F64+SUMPRODUCT('Input General'!F65:F68,'Input General'!F131:F134)*'Input Global'!F$22+'Input General'!F75)</f>
        <v>49511.647190717289</v>
      </c>
      <c r="G70" s="108">
        <f>IF(LEFT($A$67,5)="blank",0,'Input General'!G64+SUMPRODUCT('Input General'!G65:G68,'Input General'!G131:G134)*'Input Global'!G$22+'Input General'!G75)</f>
        <v>52196.285245207393</v>
      </c>
      <c r="H70" s="108">
        <f>IF(LEFT($A$67,5)="blank",0,'Input General'!H64+SUMPRODUCT('Input General'!H65:H68,'Input General'!H131:H134)*'Input Global'!H$22+'Input General'!H75)</f>
        <v>53948.981416067443</v>
      </c>
    </row>
    <row r="71" spans="1:15" ht="15" x14ac:dyDescent="0.25">
      <c r="A71" s="158"/>
      <c r="B71" s="158"/>
      <c r="C71" s="158"/>
      <c r="D71" s="158"/>
      <c r="E71" s="158"/>
      <c r="F71" s="158"/>
      <c r="G71" s="158"/>
      <c r="H71" s="158"/>
    </row>
    <row r="72" spans="1:15" x14ac:dyDescent="0.3">
      <c r="A72" t="str">
        <f t="shared" si="7"/>
        <v>Retail and Wholesale</v>
      </c>
      <c r="C72" t="s">
        <v>55</v>
      </c>
      <c r="D72" s="108">
        <f ca="1">IF(LEFT($A$67,5)="blank",0,VLOOKUP($B$2,'Input General'!$A$247:$H$251,COLUMN(D72),FALSE)*'Input Global'!D$37)+IF(LEFT($A$67,5)="blank",0,VLOOKUP($B$2,dist5wholesale,COLUMN(D68),FALSE)*'Input Global'!D22)</f>
        <v>37004.370213838418</v>
      </c>
      <c r="E72" s="108">
        <f ca="1">IF(LEFT($A$67,5)="blank",0,VLOOKUP($B$2,'Input General'!$A$247:$H$251,COLUMN(E72),FALSE)*'Input Global'!E$37)+IF(LEFT($A$67,5)="blank",0,VLOOKUP($B$2,dist5wholesale,COLUMN(E68),FALSE)*'Input Global'!E22)</f>
        <v>78950.951703408049</v>
      </c>
      <c r="F72" s="108">
        <f ca="1">IF(LEFT($A$67,5)="blank",0,VLOOKUP($B$2,'Input General'!$A$247:$H$251,COLUMN(F72),FALSE)*'Input Global'!F$37)+IF(LEFT($A$67,5)="blank",0,VLOOKUP($B$2,dist5wholesale,COLUMN(F68),FALSE)*'Input Global'!F22)</f>
        <v>78783.505659763265</v>
      </c>
      <c r="G72" s="108">
        <f ca="1">IF(LEFT($A$67,5)="blank",0,VLOOKUP($B$2,'Input General'!$A$247:$H$251,COLUMN(G72),FALSE)*'Input Global'!G$37)+IF(LEFT($A$67,5)="blank",0,VLOOKUP($B$2,dist5wholesale,COLUMN(G68),FALSE)*'Input Global'!G22)</f>
        <v>75977.007701922237</v>
      </c>
      <c r="H72" s="108">
        <f ca="1">IF(LEFT($A$67,5)="blank",0,VLOOKUP($B$2,'Input General'!$A$247:$H$251,COLUMN(H72),FALSE)*'Input Global'!H$37)+IF(LEFT($A$67,5)="blank",0,VLOOKUP($B$2,dist5wholesale,COLUMN(H68),FALSE)*'Input Global'!H22)</f>
        <v>76824.310315230774</v>
      </c>
    </row>
    <row r="73" spans="1:15" x14ac:dyDescent="0.3">
      <c r="A73" t="str">
        <f t="shared" si="7"/>
        <v>Green Schemes</v>
      </c>
      <c r="D73" s="103"/>
      <c r="E73" s="103"/>
      <c r="F73" s="103"/>
      <c r="G73" s="103"/>
      <c r="H73" s="103"/>
    </row>
    <row r="74" spans="1:15" x14ac:dyDescent="0.3">
      <c r="A74" s="11" t="str">
        <f t="shared" si="7"/>
        <v>Feed-in Tariffs</v>
      </c>
      <c r="C74" t="s">
        <v>55</v>
      </c>
      <c r="D74" s="108">
        <f>IF(LEFT($A$67,5)="blank",0,'Input General'!D103+SUMPRODUCT('Input General'!D104:D107,'Input General'!D131:D134)*'Input Global'!D$22)</f>
        <v>0</v>
      </c>
      <c r="E74" s="108">
        <f>IF(LEFT($A$67,5)="blank",0,'Input General'!E103+SUMPRODUCT('Input General'!E104:E107,'Input General'!E131:E134)*'Input Global'!E$22)</f>
        <v>229.20177570253537</v>
      </c>
      <c r="F74" s="108">
        <f>IF(LEFT($A$67,5)="blank",0,'Input General'!F103+SUMPRODUCT('Input General'!F104:F107,'Input General'!F131:F134)*'Input Global'!F$22)</f>
        <v>229.70308331962232</v>
      </c>
      <c r="G74" s="108">
        <f>IF(LEFT($A$67,5)="blank",0,'Input General'!G103+SUMPRODUCT('Input General'!G104:G107,'Input General'!G131:G134)*'Input Global'!G$22)</f>
        <v>229.42824191938192</v>
      </c>
      <c r="H74" s="108">
        <f>IF(LEFT($A$67,5)="blank",0,'Input General'!H103+SUMPRODUCT('Input General'!H104:H107,'Input General'!H131:H134)*'Input Global'!H$22)</f>
        <v>230.54162513890296</v>
      </c>
    </row>
    <row r="75" spans="1:15" x14ac:dyDescent="0.3">
      <c r="A75" s="11" t="str">
        <f t="shared" si="7"/>
        <v>Carbon costs</v>
      </c>
      <c r="C75" t="s">
        <v>55</v>
      </c>
      <c r="D75" s="108">
        <f ca="1">IF(LEFT($A$67,5)="blank",0,VLOOKUP($B$2,'Input General'!$A$280:$H$284,COLUMN(D75),FALSE)*'Input Global'!D$22)</f>
        <v>0</v>
      </c>
      <c r="E75" s="108">
        <f ca="1">IF(LEFT($A$67,5)="blank",0,VLOOKUP($B$2,'Input General'!$A$280:$H$284,COLUMN(E75),FALSE)*'Input Global'!E$22)</f>
        <v>0</v>
      </c>
      <c r="F75" s="108">
        <f ca="1">IF(LEFT($A$67,5)="blank",0,VLOOKUP($B$2,'Input General'!$A$280:$H$284,COLUMN(F75),FALSE)*'Input Global'!F$22)</f>
        <v>10244.597444220091</v>
      </c>
      <c r="G75" s="108">
        <f ca="1">IF(LEFT($A$67,5)="blank",0,VLOOKUP($B$2,'Input General'!$A$280:$H$284,COLUMN(G75),FALSE)*'Input Global'!G$22)</f>
        <v>10497.041686705976</v>
      </c>
      <c r="H75" s="108">
        <f ca="1">IF(LEFT($A$67,5)="blank",0,VLOOKUP($B$2,'Input General'!$A$280:$H$284,COLUMN(H75),FALSE)*'Input Global'!H$22)</f>
        <v>10801.562288678697</v>
      </c>
    </row>
    <row r="76" spans="1:15" x14ac:dyDescent="0.3">
      <c r="A76" s="11" t="str">
        <f t="shared" si="7"/>
        <v>Large Scale Renewable Energy Target</v>
      </c>
      <c r="C76" t="s">
        <v>55</v>
      </c>
      <c r="D76" s="108">
        <f ca="1">IF(LEFT($A$67,5)="blank",0,VLOOKUP($B$2,'Input General'!$A344:$H348,COLUMN(D76),FALSE)*'Input Global'!D22)</f>
        <v>1207.2319490745772</v>
      </c>
      <c r="E76" s="108">
        <f ca="1">IF(LEFT($A$67,5)="blank",0,VLOOKUP($B$2,'Input General'!$A344:$H348,COLUMN(E76),FALSE)*'Input Global'!E22)</f>
        <v>2070.6471001134769</v>
      </c>
      <c r="F76" s="108">
        <f ca="1">IF(LEFT($A$67,5)="blank",0,VLOOKUP($B$2,'Input General'!$A344:$H348,COLUMN(F76),FALSE)*'Input Global'!F22)</f>
        <v>3031.3917806135009</v>
      </c>
      <c r="G76" s="108">
        <f ca="1">IF(LEFT($A$67,5)="blank",0,VLOOKUP($B$2,'Input General'!$A344:$H348,COLUMN(G76),FALSE)*'Input Global'!G22)</f>
        <v>3165.2889523550011</v>
      </c>
      <c r="H76" s="108">
        <f ca="1">IF(LEFT($A$67,5)="blank",0,VLOOKUP($B$2,'Input General'!$A344:$H348,COLUMN(H76),FALSE)*'Input Global'!H22)</f>
        <v>3286.0188503971212</v>
      </c>
    </row>
    <row r="77" spans="1:15" x14ac:dyDescent="0.3">
      <c r="A77" s="11" t="str">
        <f t="shared" si="7"/>
        <v>Small Scale Renewable Energy Scheme</v>
      </c>
      <c r="C77" t="s">
        <v>55</v>
      </c>
      <c r="D77" s="108">
        <f ca="1">IF(LEFT($A$67,5)="blank",0,'Input General'!D155*'Input Global'!D$22)</f>
        <v>2085.1764769245315</v>
      </c>
      <c r="E77" s="108">
        <f ca="1">IF(LEFT($A$67,5)="blank",0,'Input General'!E155*'Input Global'!E$22)</f>
        <v>2474.3240707424361</v>
      </c>
      <c r="F77" s="108">
        <f ca="1">IF(LEFT($A$67,5)="blank",0,'Input General'!F155*'Input Global'!F$22)</f>
        <v>1317.9953755290896</v>
      </c>
      <c r="G77" s="108">
        <f ca="1">IF(LEFT($A$67,5)="blank",0,'Input General'!G155*'Input Global'!G$22)</f>
        <v>565.25771446813451</v>
      </c>
      <c r="H77" s="108">
        <f ca="1">IF(LEFT($A$67,5)="blank",0,'Input General'!H155*'Input Global'!H$22)</f>
        <v>481.52387887543739</v>
      </c>
    </row>
    <row r="78" spans="1:15" x14ac:dyDescent="0.3">
      <c r="A78" s="11" t="str">
        <f t="shared" si="7"/>
        <v>Energy Saver Incentive</v>
      </c>
      <c r="C78" t="s">
        <v>55</v>
      </c>
      <c r="D78" s="108">
        <f ca="1">IF(LEFT($A$67,5)="blank",0,VLOOKUP($B$2,'Input General'!$A$183:$H$187,COLUMN(D78),FALSE)*'Input Global'!D$22)</f>
        <v>1848.2570603249551</v>
      </c>
      <c r="E78" s="108">
        <f ca="1">IF(LEFT($A$67,5)="blank",0,VLOOKUP($B$2,'Input General'!$A$183:$H$187,COLUMN(E78),FALSE)*'Input Global'!E$22)</f>
        <v>1824.2590311018121</v>
      </c>
      <c r="F78" s="108">
        <f ca="1">IF(LEFT($A$67,5)="blank",0,VLOOKUP($B$2,'Input General'!$A$183:$H$187,COLUMN(F78),FALSE)*'Input Global'!F$22)</f>
        <v>1737.9227807159082</v>
      </c>
      <c r="G78" s="108">
        <f ca="1">IF(LEFT($A$67,5)="blank",0,VLOOKUP($B$2,'Input General'!$A$183:$H$187,COLUMN(G78),FALSE)*'Input Global'!G$22)</f>
        <v>1693.5057010159676</v>
      </c>
      <c r="H78" s="108">
        <f ca="1">IF(LEFT($A$67,5)="blank",0,VLOOKUP($B$2,'Input General'!$A$183:$H$187,COLUMN(H78),FALSE)*'Input Global'!H$22)</f>
        <v>1660.2185831154577</v>
      </c>
    </row>
    <row r="79" spans="1:15" x14ac:dyDescent="0.3">
      <c r="A79" s="11" t="str">
        <f t="shared" si="7"/>
        <v>blank</v>
      </c>
      <c r="C79" t="s">
        <v>55</v>
      </c>
      <c r="D79" s="108">
        <f ca="1">IF(LEFT($A$67,5)="blank",0,VLOOKUP($B$2,'Input General'!$A$215:$H$219,COLUMN(D79),FALSE)*'Input Global'!D$22)</f>
        <v>0</v>
      </c>
      <c r="E79" s="108">
        <f ca="1">IF(LEFT($A$67,5)="blank",0,VLOOKUP($B$2,'Input General'!$A$215:$H$219,COLUMN(E79),FALSE)*'Input Global'!E$22)</f>
        <v>0</v>
      </c>
      <c r="F79" s="108">
        <f ca="1">IF(LEFT($A$67,5)="blank",0,VLOOKUP($B$2,'Input General'!$A$215:$H$219,COLUMN(F79),FALSE)*'Input Global'!F$22)</f>
        <v>0</v>
      </c>
      <c r="G79" s="108">
        <f ca="1">IF(LEFT($A$67,5)="blank",0,VLOOKUP($B$2,'Input General'!$A$215:$H$219,COLUMN(G79),FALSE)*'Input Global'!G$22)</f>
        <v>0</v>
      </c>
      <c r="H79" s="108">
        <f ca="1">IF(LEFT($A$67,5)="blank",0,VLOOKUP($B$2,'Input General'!$A$215:$H$219,COLUMN(H79),FALSE)*'Input Global'!H$22)</f>
        <v>0</v>
      </c>
    </row>
    <row r="80" spans="1:15" x14ac:dyDescent="0.3">
      <c r="A80" s="12" t="s">
        <v>53</v>
      </c>
      <c r="B80" s="12"/>
      <c r="C80" s="12" t="s">
        <v>55</v>
      </c>
      <c r="D80" s="108">
        <f ca="1">SUM(D68:D79)</f>
        <v>42145.035700162487</v>
      </c>
      <c r="E80" s="108">
        <f t="shared" ref="E80:H80" ca="1" si="8">SUM(E68:E79)</f>
        <v>136279.92820638084</v>
      </c>
      <c r="F80" s="108">
        <f t="shared" ca="1" si="8"/>
        <v>149552.82876160566</v>
      </c>
      <c r="G80" s="108">
        <f t="shared" ca="1" si="8"/>
        <v>149004.97460539034</v>
      </c>
      <c r="H80" s="108">
        <f t="shared" ca="1" si="8"/>
        <v>151925.81496515413</v>
      </c>
    </row>
    <row r="81" spans="1:8" x14ac:dyDescent="0.3">
      <c r="D81" s="103"/>
      <c r="E81" s="103"/>
      <c r="F81" s="103"/>
      <c r="G81" s="103"/>
      <c r="H81" s="103"/>
    </row>
    <row r="82" spans="1:8" ht="18.75" x14ac:dyDescent="0.3">
      <c r="A82" s="1" t="s">
        <v>54</v>
      </c>
      <c r="B82" s="1" t="s">
        <v>41</v>
      </c>
      <c r="D82" s="103"/>
      <c r="E82" s="103"/>
      <c r="F82" s="103"/>
      <c r="G82" s="103"/>
      <c r="H82" s="103"/>
    </row>
    <row r="84" spans="1:8" x14ac:dyDescent="0.3">
      <c r="A84" s="8" t="str">
        <f>Dist1</f>
        <v>Citipower</v>
      </c>
    </row>
    <row r="85" spans="1:8" ht="15" x14ac:dyDescent="0.25">
      <c r="A85" s="158"/>
      <c r="B85" s="158"/>
      <c r="C85" s="158"/>
      <c r="D85" s="158"/>
      <c r="E85" s="158"/>
      <c r="F85" s="158"/>
      <c r="G85" s="158"/>
      <c r="H85" s="158"/>
    </row>
    <row r="86" spans="1:8" x14ac:dyDescent="0.3">
      <c r="A86" t="str">
        <f t="shared" ref="A86:A96" si="9">A69</f>
        <v>Transmission</v>
      </c>
      <c r="C86" t="s">
        <v>11</v>
      </c>
      <c r="D86" s="108">
        <f>IF(LEFT($A$84,5)="blank",0,D9/'Input Global'!D$18)</f>
        <v>0</v>
      </c>
      <c r="E86" s="108">
        <f>IF(LEFT($A$84,5)="blank",0,E9/'Input Global'!E$18)</f>
        <v>1.0036378510908099</v>
      </c>
      <c r="F86" s="108">
        <f>IF(LEFT($A$84,5)="blank",0,F9/'Input Global'!F$18)</f>
        <v>1.0270565898303081</v>
      </c>
      <c r="G86" s="108">
        <f>IF(LEFT($A$84,5)="blank",0,G9/'Input Global'!G$18)</f>
        <v>1.051432803745763</v>
      </c>
      <c r="H86" s="108">
        <f>IF(LEFT($A$84,5)="blank",0,H9/'Input Global'!H$18)</f>
        <v>1.0757753652500264</v>
      </c>
    </row>
    <row r="87" spans="1:8" x14ac:dyDescent="0.3">
      <c r="A87" t="str">
        <f t="shared" si="9"/>
        <v>Distribution</v>
      </c>
      <c r="C87" t="s">
        <v>11</v>
      </c>
      <c r="D87" s="108">
        <f>IF(LEFT($A$84,5)="blank",0,D10/'Input Global'!D$18)</f>
        <v>0</v>
      </c>
      <c r="E87" s="108">
        <f>IF(LEFT($A$84,5)="blank",0,E10/'Input Global'!E$18)</f>
        <v>6.8538447253772814</v>
      </c>
      <c r="F87" s="108">
        <f>IF(LEFT($A$84,5)="blank",0,F10/'Input Global'!F$18)</f>
        <v>7.6877150734816615</v>
      </c>
      <c r="G87" s="108">
        <f>IF(LEFT($A$84,5)="blank",0,G10/'Input Global'!G$18)</f>
        <v>8.7608109698470322</v>
      </c>
      <c r="H87" s="108">
        <f>IF(LEFT($A$84,5)="blank",0,H10/'Input Global'!H$18)</f>
        <v>9.887034526115178</v>
      </c>
    </row>
    <row r="88" spans="1:8" ht="15" x14ac:dyDescent="0.25">
      <c r="A88" s="158"/>
      <c r="B88" s="158"/>
      <c r="C88" s="158"/>
      <c r="D88" s="158"/>
      <c r="E88" s="158"/>
      <c r="F88" s="158"/>
      <c r="G88" s="158"/>
      <c r="H88" s="158"/>
    </row>
    <row r="89" spans="1:8" x14ac:dyDescent="0.3">
      <c r="A89" t="str">
        <f t="shared" si="9"/>
        <v>Retail and Wholesale</v>
      </c>
      <c r="C89" t="s">
        <v>11</v>
      </c>
      <c r="D89" s="108">
        <f ca="1">IF(LEFT($A$84,5)="blank",0,D12/'Input Global'!D$18)</f>
        <v>6.3719017275711742</v>
      </c>
      <c r="E89" s="108">
        <f ca="1">IF(LEFT($A$84,5)="blank",0,E12/'Input Global'!E$18)</f>
        <v>18.107404734813731</v>
      </c>
      <c r="F89" s="108">
        <f ca="1">IF(LEFT($A$84,5)="blank",0,F12/'Input Global'!F$18)</f>
        <v>16.948834122612851</v>
      </c>
      <c r="G89" s="108">
        <f ca="1">IF(LEFT($A$84,5)="blank",0,G12/'Input Global'!G$18)</f>
        <v>18.095488799081899</v>
      </c>
      <c r="H89" s="108">
        <f ca="1">IF(LEFT($A$84,5)="blank",0,H12/'Input Global'!H$18)</f>
        <v>18.707065224511801</v>
      </c>
    </row>
    <row r="90" spans="1:8" x14ac:dyDescent="0.3">
      <c r="A90" t="str">
        <f t="shared" si="9"/>
        <v>Green Schemes</v>
      </c>
      <c r="C90" t="s">
        <v>11</v>
      </c>
      <c r="D90" s="103"/>
      <c r="E90" s="103"/>
      <c r="F90" s="103"/>
      <c r="G90" s="103"/>
      <c r="H90" s="103"/>
    </row>
    <row r="91" spans="1:8" x14ac:dyDescent="0.3">
      <c r="A91" s="11" t="str">
        <f t="shared" si="9"/>
        <v>Feed-in Tariffs</v>
      </c>
      <c r="C91" t="s">
        <v>11</v>
      </c>
      <c r="D91" s="108">
        <f>IF(LEFT($A$84,5)="blank",0,D14/'Input Global'!D$18)</f>
        <v>0</v>
      </c>
      <c r="E91" s="108">
        <f>IF(LEFT($A$84,5)="blank",0,E14/'Input Global'!E$18)</f>
        <v>6.3084530362979896E-2</v>
      </c>
      <c r="F91" s="108">
        <f>IF(LEFT($A$84,5)="blank",0,F14/'Input Global'!F$18)</f>
        <v>6.5392744002186406E-2</v>
      </c>
      <c r="G91" s="108">
        <f>IF(LEFT($A$84,5)="blank",0,G14/'Input Global'!G$18)</f>
        <v>6.7910661367941841E-2</v>
      </c>
      <c r="H91" s="108">
        <f>IF(LEFT($A$84,5)="blank",0,H14/'Input Global'!H$18)</f>
        <v>7.0318536124230599E-2</v>
      </c>
    </row>
    <row r="92" spans="1:8" x14ac:dyDescent="0.3">
      <c r="A92" s="11" t="str">
        <f t="shared" si="9"/>
        <v>Carbon costs</v>
      </c>
      <c r="C92" t="s">
        <v>11</v>
      </c>
      <c r="D92" s="108">
        <f ca="1">IF(LEFT($A$84,5)="blank",0,D15/'Input Global'!D$18)</f>
        <v>0</v>
      </c>
      <c r="E92" s="108">
        <f ca="1">IF(LEFT($A$84,5)="blank",0,E15/'Input Global'!E$18)</f>
        <v>0</v>
      </c>
      <c r="F92" s="108">
        <f ca="1">IF(LEFT($A$84,5)="blank",0,F15/'Input Global'!F$18)</f>
        <v>2.2400000000000002</v>
      </c>
      <c r="G92" s="108">
        <f ca="1">IF(LEFT($A$84,5)="blank",0,G15/'Input Global'!G$18)</f>
        <v>2.3554766355341958</v>
      </c>
      <c r="H92" s="108">
        <f ca="1">IF(LEFT($A$84,5)="blank",0,H15/'Input Global'!H$18)</f>
        <v>2.4723612935227774</v>
      </c>
    </row>
    <row r="93" spans="1:8" x14ac:dyDescent="0.3">
      <c r="A93" s="11" t="str">
        <f t="shared" si="9"/>
        <v>Large Scale Renewable Energy Target</v>
      </c>
      <c r="C93" t="s">
        <v>11</v>
      </c>
      <c r="D93" s="108">
        <f ca="1">IF(LEFT($A$84,5)="blank",0,D16/'Input Global'!D$18)</f>
        <v>0.25473754178777863</v>
      </c>
      <c r="E93" s="108">
        <f ca="1">IF(LEFT($A$84,5)="blank",0,E16/'Input Global'!E$18)</f>
        <v>0.44267417909205159</v>
      </c>
      <c r="F93" s="108">
        <f ca="1">IF(LEFT($A$84,5)="blank",0,F16/'Input Global'!F$18)</f>
        <v>0.6628193665535661</v>
      </c>
      <c r="G93" s="108">
        <f ca="1">IF(LEFT($A$84,5)="blank",0,G16/'Input Global'!G$18)</f>
        <v>0.71024845158378358</v>
      </c>
      <c r="H93" s="108">
        <f ca="1">IF(LEFT($A$84,5)="blank",0,H16/'Input Global'!H$18)</f>
        <v>0.75212214575245984</v>
      </c>
    </row>
    <row r="94" spans="1:8" x14ac:dyDescent="0.3">
      <c r="A94" s="11" t="str">
        <f t="shared" si="9"/>
        <v>Small Scale Renewable Energy Scheme</v>
      </c>
      <c r="C94" t="s">
        <v>11</v>
      </c>
      <c r="D94" s="108">
        <f ca="1">IF(LEFT($A$84,5)="blank",0,D17/'Input Global'!D$18)</f>
        <v>0.43999227350852893</v>
      </c>
      <c r="E94" s="108">
        <f ca="1">IF(LEFT($A$84,5)="blank",0,E17/'Input Global'!E$18)</f>
        <v>0.52897443353026441</v>
      </c>
      <c r="F94" s="108">
        <f ca="1">IF(LEFT($A$84,5)="blank",0,F17/'Input Global'!F$18)</f>
        <v>0.2881821035194338</v>
      </c>
      <c r="G94" s="108">
        <f ca="1">IF(LEFT($A$84,5)="blank",0,G17/'Input Global'!G$18)</f>
        <v>0.12683626123551275</v>
      </c>
      <c r="H94" s="108">
        <f ca="1">IF(LEFT($A$84,5)="blank",0,H17/'Input Global'!H$18)</f>
        <v>0.11021384523313774</v>
      </c>
    </row>
    <row r="95" spans="1:8" x14ac:dyDescent="0.3">
      <c r="A95" s="11" t="str">
        <f t="shared" si="9"/>
        <v>Energy Saver Incentive</v>
      </c>
      <c r="C95" t="s">
        <v>11</v>
      </c>
      <c r="D95" s="108">
        <f ca="1">IF(LEFT($A$84,5)="blank",0,D18/'Input Global'!D$18)</f>
        <v>0.39</v>
      </c>
      <c r="E95" s="108">
        <f ca="1">IF(LEFT($A$84,5)="blank",0,E18/'Input Global'!E$18)</f>
        <v>0.39</v>
      </c>
      <c r="F95" s="108">
        <f ca="1">IF(LEFT($A$84,5)="blank",0,F18/'Input Global'!F$18)</f>
        <v>0.38</v>
      </c>
      <c r="G95" s="108">
        <f ca="1">IF(LEFT($A$84,5)="blank",0,G18/'Input Global'!G$18)</f>
        <v>0.38</v>
      </c>
      <c r="H95" s="108">
        <f ca="1">IF(LEFT($A$84,5)="blank",0,H18/'Input Global'!H$18)</f>
        <v>0.38</v>
      </c>
    </row>
    <row r="96" spans="1:8" x14ac:dyDescent="0.3">
      <c r="A96" s="11" t="str">
        <f t="shared" si="9"/>
        <v>blank</v>
      </c>
      <c r="C96" t="s">
        <v>11</v>
      </c>
      <c r="D96" s="108">
        <f ca="1">IF(LEFT($A$84,5)="blank",0,D19/'Input Global'!D$18)</f>
        <v>0</v>
      </c>
      <c r="E96" s="108">
        <f ca="1">IF(LEFT($A$84,5)="blank",0,E19/'Input Global'!E$18)</f>
        <v>0</v>
      </c>
      <c r="F96" s="108">
        <f ca="1">IF(LEFT($A$84,5)="blank",0,F19/'Input Global'!F$18)</f>
        <v>0</v>
      </c>
      <c r="G96" s="108">
        <f ca="1">IF(LEFT($A$84,5)="blank",0,G19/'Input Global'!G$18)</f>
        <v>0</v>
      </c>
      <c r="H96" s="108">
        <f ca="1">IF(LEFT($A$84,5)="blank",0,H19/'Input Global'!H$18)</f>
        <v>0</v>
      </c>
    </row>
    <row r="97" spans="1:8" x14ac:dyDescent="0.3">
      <c r="A97" s="12" t="s">
        <v>53</v>
      </c>
      <c r="B97" s="12"/>
      <c r="C97" s="12" t="s">
        <v>11</v>
      </c>
      <c r="D97" s="108">
        <f ca="1">SUM(D85:D96)</f>
        <v>7.4566315428674814</v>
      </c>
      <c r="E97" s="108">
        <f t="shared" ref="E97:H97" ca="1" si="10">SUM(E85:E96)</f>
        <v>27.389620454267117</v>
      </c>
      <c r="F97" s="108">
        <f t="shared" ca="1" si="10"/>
        <v>29.300000000000004</v>
      </c>
      <c r="G97" s="108">
        <f t="shared" ca="1" si="10"/>
        <v>31.548204582396131</v>
      </c>
      <c r="H97" s="108">
        <f t="shared" ca="1" si="10"/>
        <v>33.454890936509614</v>
      </c>
    </row>
    <row r="99" spans="1:8" x14ac:dyDescent="0.3">
      <c r="A99" s="8" t="str">
        <f>Dist2</f>
        <v>Powercor</v>
      </c>
    </row>
    <row r="100" spans="1:8" ht="15" x14ac:dyDescent="0.25">
      <c r="A100" s="158"/>
      <c r="B100" s="158"/>
      <c r="C100" s="158"/>
      <c r="D100" s="158"/>
      <c r="E100" s="158"/>
      <c r="F100" s="158"/>
      <c r="G100" s="158"/>
      <c r="H100" s="158"/>
    </row>
    <row r="101" spans="1:8" x14ac:dyDescent="0.3">
      <c r="A101" t="str">
        <f t="shared" ref="A101:A111" si="11">A86</f>
        <v>Transmission</v>
      </c>
      <c r="C101" t="s">
        <v>11</v>
      </c>
      <c r="D101" s="108">
        <f>IF(LEFT($A$99,5)="blank",0,D24/'Input Global'!D$19)</f>
        <v>0</v>
      </c>
      <c r="E101" s="108">
        <f>IF(LEFT($A$99,5)="blank",0,E24/'Input Global'!E$19)</f>
        <v>1.3261051052416393</v>
      </c>
      <c r="F101" s="108">
        <f>IF(LEFT($A$99,5)="blank",0,F24/'Input Global'!F$19)</f>
        <v>1.3597219912972978</v>
      </c>
      <c r="G101" s="108">
        <f>IF(LEFT($A$99,5)="blank",0,G24/'Input Global'!G$19)</f>
        <v>1.395203749889431</v>
      </c>
      <c r="H101" s="108">
        <f>IF(LEFT($A$99,5)="blank",0,H24/'Input Global'!H$19)</f>
        <v>1.4300698070905618</v>
      </c>
    </row>
    <row r="102" spans="1:8" x14ac:dyDescent="0.3">
      <c r="A102" t="str">
        <f t="shared" si="11"/>
        <v>Distribution</v>
      </c>
      <c r="C102" t="s">
        <v>11</v>
      </c>
      <c r="D102" s="108">
        <f>IF(LEFT($A$99,5)="blank",0,D25/'Input Global'!D$19)</f>
        <v>0</v>
      </c>
      <c r="E102" s="108">
        <f>IF(LEFT($A$99,5)="blank",0,E25/'Input Global'!E$19)</f>
        <v>8.622202621612157</v>
      </c>
      <c r="F102" s="108">
        <f>IF(LEFT($A$99,5)="blank",0,F25/'Input Global'!F$19)</f>
        <v>9.5391960248663956</v>
      </c>
      <c r="G102" s="108">
        <f>IF(LEFT($A$99,5)="blank",0,G25/'Input Global'!G$19)</f>
        <v>10.577175103515302</v>
      </c>
      <c r="H102" s="108">
        <f>IF(LEFT($A$99,5)="blank",0,H25/'Input Global'!H$19)</f>
        <v>11.66237177113026</v>
      </c>
    </row>
    <row r="103" spans="1:8" ht="15" x14ac:dyDescent="0.25">
      <c r="A103" s="158"/>
      <c r="B103" s="158"/>
      <c r="C103" s="158"/>
      <c r="D103" s="158"/>
      <c r="E103" s="158"/>
      <c r="F103" s="158"/>
      <c r="G103" s="158"/>
      <c r="H103" s="158"/>
    </row>
    <row r="104" spans="1:8" x14ac:dyDescent="0.3">
      <c r="A104" t="str">
        <f t="shared" si="11"/>
        <v>Retail and Wholesale</v>
      </c>
      <c r="C104" t="s">
        <v>11</v>
      </c>
      <c r="D104" s="108">
        <f ca="1">IF(LEFT($A$99,5)="blank",0,D27/'Input Global'!D$19)</f>
        <v>7.3737156102082606</v>
      </c>
      <c r="E104" s="108">
        <f ca="1">IF(LEFT($A$99,5)="blank",0,E27/'Input Global'!E$19)</f>
        <v>18.503179007715648</v>
      </c>
      <c r="F104" s="108">
        <f ca="1">IF(LEFT($A$99,5)="blank",0,F27/'Input Global'!F$19)</f>
        <v>18.550682973467776</v>
      </c>
      <c r="G104" s="108">
        <f ca="1">IF(LEFT($A$99,5)="blank",0,G27/'Input Global'!G$19)</f>
        <v>19.610853582416073</v>
      </c>
      <c r="H104" s="108">
        <f ca="1">IF(LEFT($A$99,5)="blank",0,H27/'Input Global'!H$19)</f>
        <v>20.976138161850386</v>
      </c>
    </row>
    <row r="105" spans="1:8" x14ac:dyDescent="0.3">
      <c r="A105" t="str">
        <f t="shared" si="11"/>
        <v>Green Schemes</v>
      </c>
      <c r="C105" t="s">
        <v>11</v>
      </c>
      <c r="D105" s="103"/>
      <c r="E105" s="103"/>
      <c r="F105" s="103"/>
      <c r="G105" s="103"/>
      <c r="H105" s="103"/>
    </row>
    <row r="106" spans="1:8" x14ac:dyDescent="0.3">
      <c r="A106" s="11" t="str">
        <f t="shared" si="11"/>
        <v>Feed-in Tariffs</v>
      </c>
      <c r="C106" t="s">
        <v>11</v>
      </c>
      <c r="D106" s="108">
        <f>IF(LEFT($A$99,5)="blank",0,D29/'Input Global'!D$19)</f>
        <v>0</v>
      </c>
      <c r="E106" s="108">
        <f>IF(LEFT($A$99,5)="blank",0,E29/'Input Global'!E$19)</f>
        <v>0.31823094852919931</v>
      </c>
      <c r="F106" s="108">
        <f>IF(LEFT($A$99,5)="blank",0,F29/'Input Global'!F$19)</f>
        <v>0.32758737030643331</v>
      </c>
      <c r="G106" s="108">
        <f>IF(LEFT($A$99,5)="blank",0,G29/'Input Global'!G$19)</f>
        <v>0.33746890237339194</v>
      </c>
      <c r="H106" s="108">
        <f>IF(LEFT($A$99,5)="blank",0,H29/'Input Global'!H$19)</f>
        <v>0.34726605604934618</v>
      </c>
    </row>
    <row r="107" spans="1:8" x14ac:dyDescent="0.3">
      <c r="A107" s="11" t="str">
        <f t="shared" si="11"/>
        <v>Carbon costs</v>
      </c>
      <c r="C107" t="s">
        <v>11</v>
      </c>
      <c r="D107" s="108">
        <f ca="1">IF(LEFT($A$99,5)="blank",0,D30/'Input Global'!D$19)</f>
        <v>0</v>
      </c>
      <c r="E107" s="108">
        <f ca="1">IF(LEFT($A$99,5)="blank",0,E30/'Input Global'!E$19)</f>
        <v>0</v>
      </c>
      <c r="F107" s="108">
        <f ca="1">IF(LEFT($A$99,5)="blank",0,F30/'Input Global'!F$19)</f>
        <v>2.2400000000000002</v>
      </c>
      <c r="G107" s="108">
        <f ca="1">IF(LEFT($A$99,5)="blank",0,G30/'Input Global'!G$19)</f>
        <v>2.3547397887430725</v>
      </c>
      <c r="H107" s="108">
        <f ca="1">IF(LEFT($A$99,5)="blank",0,H30/'Input Global'!H$19)</f>
        <v>2.4726284520803699</v>
      </c>
    </row>
    <row r="108" spans="1:8" x14ac:dyDescent="0.3">
      <c r="A108" s="11" t="str">
        <f t="shared" si="11"/>
        <v>Large Scale Renewable Energy Target</v>
      </c>
      <c r="C108" t="s">
        <v>11</v>
      </c>
      <c r="D108" s="108">
        <f ca="1">IF(LEFT($A$99,5)="blank",0,D31/'Input Global'!D$19)</f>
        <v>0.25473754178777863</v>
      </c>
      <c r="E108" s="108">
        <f ca="1">IF(LEFT($A$99,5)="blank",0,E31/'Input Global'!E$19)</f>
        <v>0.44267417909205159</v>
      </c>
      <c r="F108" s="108">
        <f ca="1">IF(LEFT($A$99,5)="blank",0,F31/'Input Global'!F$19)</f>
        <v>0.6628193665535661</v>
      </c>
      <c r="G108" s="108">
        <f ca="1">IF(LEFT($A$99,5)="blank",0,G31/'Input Global'!G$19)</f>
        <v>0.71024845158378325</v>
      </c>
      <c r="H108" s="108">
        <f ca="1">IF(LEFT($A$99,5)="blank",0,H31/'Input Global'!H$19)</f>
        <v>0.7521221457524595</v>
      </c>
    </row>
    <row r="109" spans="1:8" x14ac:dyDescent="0.3">
      <c r="A109" s="11" t="str">
        <f t="shared" si="11"/>
        <v>Small Scale Renewable Energy Scheme</v>
      </c>
      <c r="C109" t="s">
        <v>11</v>
      </c>
      <c r="D109" s="108">
        <f ca="1">IF(LEFT($A$99,5)="blank",0,D32/'Input Global'!D$19)</f>
        <v>0.43999227350852893</v>
      </c>
      <c r="E109" s="108">
        <f ca="1">IF(LEFT($A$99,5)="blank",0,E32/'Input Global'!E$19)</f>
        <v>0.43999227350852893</v>
      </c>
      <c r="F109" s="108">
        <f ca="1">IF(LEFT($A$99,5)="blank",0,F32/'Input Global'!F$19)</f>
        <v>0.43999227350852893</v>
      </c>
      <c r="G109" s="108">
        <f ca="1">IF(LEFT($A$99,5)="blank",0,G32/'Input Global'!G$19)</f>
        <v>0.19365177178870679</v>
      </c>
      <c r="H109" s="108">
        <f ca="1">IF(LEFT($A$99,5)="blank",0,H32/'Input Global'!H$19)</f>
        <v>0.16827290710984494</v>
      </c>
    </row>
    <row r="110" spans="1:8" x14ac:dyDescent="0.3">
      <c r="A110" s="11" t="str">
        <f t="shared" si="11"/>
        <v>Energy Saver Incentive</v>
      </c>
      <c r="C110" t="s">
        <v>11</v>
      </c>
      <c r="D110" s="108">
        <f ca="1">IF(LEFT($A$99,5)="blank",0,D33/'Input Global'!D$19)</f>
        <v>0.39</v>
      </c>
      <c r="E110" s="108">
        <f ca="1">IF(LEFT($A$99,5)="blank",0,E33/'Input Global'!E$19)</f>
        <v>0.39</v>
      </c>
      <c r="F110" s="108">
        <f ca="1">IF(LEFT($A$99,5)="blank",0,F33/'Input Global'!F$19)</f>
        <v>0.38</v>
      </c>
      <c r="G110" s="108">
        <f ca="1">IF(LEFT($A$99,5)="blank",0,G33/'Input Global'!G$19)</f>
        <v>0.38</v>
      </c>
      <c r="H110" s="108">
        <f ca="1">IF(LEFT($A$99,5)="blank",0,H33/'Input Global'!H$19)</f>
        <v>0.38</v>
      </c>
    </row>
    <row r="111" spans="1:8" x14ac:dyDescent="0.3">
      <c r="A111" s="11" t="str">
        <f t="shared" si="11"/>
        <v>blank</v>
      </c>
      <c r="C111" t="s">
        <v>11</v>
      </c>
      <c r="D111" s="108">
        <f ca="1">IF(LEFT($A$99,5)="blank",0,D34/'Input Global'!D$19)</f>
        <v>0</v>
      </c>
      <c r="E111" s="108">
        <f ca="1">IF(LEFT($A$99,5)="blank",0,E34/'Input Global'!E$19)</f>
        <v>0</v>
      </c>
      <c r="F111" s="108">
        <f ca="1">IF(LEFT($A$99,5)="blank",0,F34/'Input Global'!F$19)</f>
        <v>0</v>
      </c>
      <c r="G111" s="108">
        <f ca="1">IF(LEFT($A$99,5)="blank",0,G34/'Input Global'!G$19)</f>
        <v>0</v>
      </c>
      <c r="H111" s="108">
        <f ca="1">IF(LEFT($A$99,5)="blank",0,H34/'Input Global'!H$19)</f>
        <v>0</v>
      </c>
    </row>
    <row r="112" spans="1:8" x14ac:dyDescent="0.3">
      <c r="A112" s="12" t="s">
        <v>53</v>
      </c>
      <c r="B112" s="12"/>
      <c r="C112" s="12" t="s">
        <v>11</v>
      </c>
      <c r="D112" s="108">
        <f ca="1">SUM(D100:D111)</f>
        <v>8.4584454255045696</v>
      </c>
      <c r="E112" s="108">
        <f t="shared" ref="E112:H112" ca="1" si="12">SUM(E100:E111)</f>
        <v>30.042384135699223</v>
      </c>
      <c r="F112" s="108">
        <f t="shared" ca="1" si="12"/>
        <v>33.5</v>
      </c>
      <c r="G112" s="108">
        <f t="shared" ca="1" si="12"/>
        <v>35.559341350309758</v>
      </c>
      <c r="H112" s="108">
        <f t="shared" ca="1" si="12"/>
        <v>38.188869301063235</v>
      </c>
    </row>
    <row r="114" spans="1:8" x14ac:dyDescent="0.3">
      <c r="A114" s="8" t="str">
        <f>Dist3</f>
        <v>SP Ausnet</v>
      </c>
    </row>
    <row r="115" spans="1:8" ht="15" x14ac:dyDescent="0.25">
      <c r="A115" s="158"/>
      <c r="B115" s="158"/>
      <c r="C115" s="158"/>
      <c r="D115" s="158"/>
      <c r="E115" s="158"/>
      <c r="F115" s="158"/>
      <c r="G115" s="158"/>
      <c r="H115" s="158"/>
    </row>
    <row r="116" spans="1:8" x14ac:dyDescent="0.3">
      <c r="A116" t="str">
        <f t="shared" ref="A116:A126" si="13">A101</f>
        <v>Transmission</v>
      </c>
      <c r="C116" t="s">
        <v>11</v>
      </c>
      <c r="D116" s="108">
        <f>IF(LEFT($A$114,5)="blank",0,D39/'Input Global'!D$20)</f>
        <v>0</v>
      </c>
      <c r="E116" s="108">
        <f>IF(LEFT($A$114,5)="blank",0,E39/'Input Global'!E$20)</f>
        <v>1.0787836959432828</v>
      </c>
      <c r="F116" s="108">
        <f>IF(LEFT($A$114,5)="blank",0,F39/'Input Global'!F$20)</f>
        <v>1.1015003910790115</v>
      </c>
      <c r="G116" s="108">
        <f>IF(LEFT($A$114,5)="blank",0,G39/'Input Global'!G$20)</f>
        <v>1.1246954473911559</v>
      </c>
      <c r="H116" s="108">
        <f>IF(LEFT($A$114,5)="blank",0,H39/'Input Global'!H$20)</f>
        <v>1.1483789380621812</v>
      </c>
    </row>
    <row r="117" spans="1:8" x14ac:dyDescent="0.3">
      <c r="A117" t="str">
        <f t="shared" si="13"/>
        <v>Distribution</v>
      </c>
      <c r="C117" t="s">
        <v>11</v>
      </c>
      <c r="D117" s="108">
        <f>IF(LEFT($A$114,5)="blank",0,D40/'Input Global'!D$20)</f>
        <v>0</v>
      </c>
      <c r="E117" s="108">
        <f>IF(LEFT($A$114,5)="blank",0,E40/'Input Global'!E$20)</f>
        <v>9.2278146998124573</v>
      </c>
      <c r="F117" s="108">
        <f>IF(LEFT($A$114,5)="blank",0,F40/'Input Global'!F$20)</f>
        <v>10.243241998203711</v>
      </c>
      <c r="G117" s="108">
        <f>IF(LEFT($A$114,5)="blank",0,G40/'Input Global'!G$20)</f>
        <v>11.514049686174685</v>
      </c>
      <c r="H117" s="108">
        <f>IF(LEFT($A$114,5)="blank",0,H40/'Input Global'!H$20)</f>
        <v>12.900784361842325</v>
      </c>
    </row>
    <row r="118" spans="1:8" ht="15" x14ac:dyDescent="0.25">
      <c r="A118" s="158"/>
      <c r="B118" s="158"/>
      <c r="C118" s="158"/>
      <c r="D118" s="158"/>
      <c r="E118" s="158"/>
      <c r="F118" s="158"/>
      <c r="G118" s="158"/>
      <c r="H118" s="158"/>
    </row>
    <row r="119" spans="1:8" x14ac:dyDescent="0.3">
      <c r="A119" t="str">
        <f t="shared" si="13"/>
        <v>Retail and Wholesale</v>
      </c>
      <c r="C119" t="s">
        <v>11</v>
      </c>
      <c r="D119" s="108">
        <f ca="1">IF(LEFT($A$114,5)="blank",0,D42/'Input Global'!D$20)</f>
        <v>7.871243079051883</v>
      </c>
      <c r="E119" s="108">
        <f ca="1">IF(LEFT($A$114,5)="blank",0,E42/'Input Global'!E$20)</f>
        <v>17.222002545453087</v>
      </c>
      <c r="F119" s="108">
        <f ca="1">IF(LEFT($A$114,5)="blank",0,F42/'Input Global'!F$20)</f>
        <v>16.663201608676292</v>
      </c>
      <c r="G119" s="108">
        <f ca="1">IF(LEFT($A$114,5)="blank",0,G42/'Input Global'!G$20)</f>
        <v>17.976797958357857</v>
      </c>
      <c r="H119" s="108">
        <f ca="1">IF(LEFT($A$114,5)="blank",0,H42/'Input Global'!H$20)</f>
        <v>18.659843588429823</v>
      </c>
    </row>
    <row r="120" spans="1:8" x14ac:dyDescent="0.3">
      <c r="A120" t="str">
        <f t="shared" si="13"/>
        <v>Green Schemes</v>
      </c>
      <c r="C120" t="s">
        <v>11</v>
      </c>
      <c r="D120" s="103"/>
      <c r="E120" s="103"/>
      <c r="F120" s="103"/>
      <c r="G120" s="103"/>
      <c r="H120" s="103"/>
    </row>
    <row r="121" spans="1:8" x14ac:dyDescent="0.3">
      <c r="A121" s="11" t="str">
        <f t="shared" si="13"/>
        <v>Feed-in Tariffs</v>
      </c>
      <c r="C121" t="s">
        <v>11</v>
      </c>
      <c r="D121" s="108">
        <f>IF(LEFT($A$114,5)="blank",0,D44/'Input Global'!D$20)</f>
        <v>0</v>
      </c>
      <c r="E121" s="108">
        <f>IF(LEFT($A$114,5)="blank",0,E44/'Input Global'!E$20)</f>
        <v>0.21444635730876013</v>
      </c>
      <c r="F121" s="108">
        <f>IF(LEFT($A$114,5)="blank",0,F44/'Input Global'!F$20)</f>
        <v>0.22105453196797845</v>
      </c>
      <c r="G121" s="108">
        <f>IF(LEFT($A$114,5)="blank",0,G44/'Input Global'!G$20)</f>
        <v>0.2280871700261681</v>
      </c>
      <c r="H121" s="108">
        <f>IF(LEFT($A$114,5)="blank",0,H44/'Input Global'!H$20)</f>
        <v>0.2350005593165477</v>
      </c>
    </row>
    <row r="122" spans="1:8" x14ac:dyDescent="0.3">
      <c r="A122" s="11" t="str">
        <f t="shared" si="13"/>
        <v>Carbon costs</v>
      </c>
      <c r="C122" t="s">
        <v>11</v>
      </c>
      <c r="D122" s="108">
        <f ca="1">IF(LEFT($A$114,5)="blank",0,D45/'Input Global'!D$20)</f>
        <v>0</v>
      </c>
      <c r="E122" s="108">
        <f ca="1">IF(LEFT($A$114,5)="blank",0,E45/'Input Global'!E$20)</f>
        <v>0</v>
      </c>
      <c r="F122" s="108">
        <f ca="1">IF(LEFT($A$114,5)="blank",0,F45/'Input Global'!F$20)</f>
        <v>2.2400000000000002</v>
      </c>
      <c r="G122" s="108">
        <f ca="1">IF(LEFT($A$114,5)="blank",0,G45/'Input Global'!G$20)</f>
        <v>2.413632745533401</v>
      </c>
      <c r="H122" s="108">
        <f ca="1">IF(LEFT($A$114,5)="blank",0,H45/'Input Global'!H$20)</f>
        <v>2.4725804137617162</v>
      </c>
    </row>
    <row r="123" spans="1:8" x14ac:dyDescent="0.3">
      <c r="A123" s="11" t="str">
        <f t="shared" si="13"/>
        <v>Large Scale Renewable Energy Target</v>
      </c>
      <c r="C123" t="s">
        <v>11</v>
      </c>
      <c r="D123" s="108">
        <f ca="1">IF(LEFT($A$114,5)="blank",0,D46/'Input Global'!D$20)</f>
        <v>0.25473754178777863</v>
      </c>
      <c r="E123" s="108">
        <f ca="1">IF(LEFT($A$114,5)="blank",0,E46/'Input Global'!E$20)</f>
        <v>0.44267417909205159</v>
      </c>
      <c r="F123" s="108">
        <f ca="1">IF(LEFT($A$114,5)="blank",0,F46/'Input Global'!F$20)</f>
        <v>0.6628193665535661</v>
      </c>
      <c r="G123" s="108">
        <f ca="1">IF(LEFT($A$114,5)="blank",0,G46/'Input Global'!G$20)</f>
        <v>0.72800466287337784</v>
      </c>
      <c r="H123" s="108">
        <f ca="1">IF(LEFT($A$114,5)="blank",0,H46/'Input Global'!H$20)</f>
        <v>0.75212214575245961</v>
      </c>
    </row>
    <row r="124" spans="1:8" x14ac:dyDescent="0.3">
      <c r="A124" s="11" t="str">
        <f t="shared" si="13"/>
        <v>Small Scale Renewable Energy Scheme</v>
      </c>
      <c r="C124" t="s">
        <v>11</v>
      </c>
      <c r="D124" s="108">
        <f ca="1">IF(LEFT($A$114,5)="blank",0,D47/'Input Global'!D$20)</f>
        <v>0.43999227350852893</v>
      </c>
      <c r="E124" s="108">
        <f ca="1">IF(LEFT($A$114,5)="blank",0,E47/'Input Global'!E$20)</f>
        <v>0.52897443353026441</v>
      </c>
      <c r="F124" s="108">
        <f ca="1">IF(LEFT($A$114,5)="blank",0,F47/'Input Global'!F$20)</f>
        <v>0.2881821035194338</v>
      </c>
      <c r="G124" s="108">
        <f ca="1">IF(LEFT($A$114,5)="blank",0,G47/'Input Global'!G$20)</f>
        <v>0.12683626123551256</v>
      </c>
      <c r="H124" s="108">
        <f ca="1">IF(LEFT($A$114,5)="blank",0,H47/'Input Global'!H$20)</f>
        <v>0.11021384523313771</v>
      </c>
    </row>
    <row r="125" spans="1:8" x14ac:dyDescent="0.3">
      <c r="A125" s="11" t="str">
        <f t="shared" si="13"/>
        <v>Energy Saver Incentive</v>
      </c>
      <c r="C125" t="s">
        <v>11</v>
      </c>
      <c r="D125" s="108">
        <f ca="1">IF(LEFT($A$114,5)="blank",0,D48/'Input Global'!D$20)</f>
        <v>0.39</v>
      </c>
      <c r="E125" s="108">
        <f ca="1">IF(LEFT($A$114,5)="blank",0,E48/'Input Global'!E$20)</f>
        <v>0.39</v>
      </c>
      <c r="F125" s="108">
        <f ca="1">IF(LEFT($A$114,5)="blank",0,F48/'Input Global'!F$20)</f>
        <v>0.38</v>
      </c>
      <c r="G125" s="108">
        <f ca="1">IF(LEFT($A$114,5)="blank",0,G48/'Input Global'!G$20)</f>
        <v>0.38</v>
      </c>
      <c r="H125" s="108">
        <f ca="1">IF(LEFT($A$114,5)="blank",0,H48/'Input Global'!H$20)</f>
        <v>0.38</v>
      </c>
    </row>
    <row r="126" spans="1:8" x14ac:dyDescent="0.3">
      <c r="A126" s="11" t="str">
        <f t="shared" si="13"/>
        <v>blank</v>
      </c>
      <c r="C126" t="s">
        <v>11</v>
      </c>
      <c r="D126" s="108">
        <f ca="1">IF(LEFT($A$114,5)="blank",0,D49/'Input Global'!D$20)</f>
        <v>0</v>
      </c>
      <c r="E126" s="108">
        <f ca="1">IF(LEFT($A$114,5)="blank",0,E49/'Input Global'!E$20)</f>
        <v>0</v>
      </c>
      <c r="F126" s="108">
        <f ca="1">IF(LEFT($A$114,5)="blank",0,F49/'Input Global'!F$20)</f>
        <v>0</v>
      </c>
      <c r="G126" s="108">
        <f ca="1">IF(LEFT($A$114,5)="blank",0,G49/'Input Global'!G$20)</f>
        <v>0</v>
      </c>
      <c r="H126" s="108">
        <f ca="1">IF(LEFT($A$114,5)="blank",0,H49/'Input Global'!H$20)</f>
        <v>0</v>
      </c>
    </row>
    <row r="127" spans="1:8" x14ac:dyDescent="0.3">
      <c r="A127" s="12" t="s">
        <v>53</v>
      </c>
      <c r="B127" s="12"/>
      <c r="C127" s="12" t="s">
        <v>11</v>
      </c>
      <c r="D127" s="108">
        <f ca="1">SUM(D115:D126)</f>
        <v>8.9559728943481929</v>
      </c>
      <c r="E127" s="108">
        <f t="shared" ref="E127:H127" ca="1" si="14">SUM(E115:E126)</f>
        <v>29.104695911139906</v>
      </c>
      <c r="F127" s="108">
        <f t="shared" ca="1" si="14"/>
        <v>31.79999999999999</v>
      </c>
      <c r="G127" s="108">
        <f t="shared" ca="1" si="14"/>
        <v>34.492103931592162</v>
      </c>
      <c r="H127" s="108">
        <f t="shared" ca="1" si="14"/>
        <v>36.658923852398196</v>
      </c>
    </row>
    <row r="129" spans="1:8" x14ac:dyDescent="0.3">
      <c r="A129" s="8" t="str">
        <f>Dist4</f>
        <v>United</v>
      </c>
    </row>
    <row r="130" spans="1:8" ht="15" x14ac:dyDescent="0.25">
      <c r="A130" s="158"/>
      <c r="B130" s="158"/>
      <c r="C130" s="158"/>
      <c r="D130" s="158"/>
      <c r="E130" s="158"/>
      <c r="F130" s="158"/>
      <c r="G130" s="158"/>
      <c r="H130" s="158"/>
    </row>
    <row r="131" spans="1:8" x14ac:dyDescent="0.3">
      <c r="A131" t="str">
        <f t="shared" ref="A131:A141" si="15">A116</f>
        <v>Transmission</v>
      </c>
      <c r="C131" t="s">
        <v>11</v>
      </c>
      <c r="D131" s="108">
        <f>IF(LEFT($A$129,5)="blank",0,D54/'Input Global'!D$21)</f>
        <v>0</v>
      </c>
      <c r="E131" s="108">
        <f>IF(LEFT($A$129,5)="blank",0,E54/'Input Global'!E$21)</f>
        <v>1.6561700596466677</v>
      </c>
      <c r="F131" s="108">
        <f>IF(LEFT($A$129,5)="blank",0,F54/'Input Global'!F$21)</f>
        <v>1.6910451791719194</v>
      </c>
      <c r="G131" s="108">
        <f>IF(LEFT($A$129,5)="blank",0,G54/'Input Global'!G$21)</f>
        <v>1.7266546882333278</v>
      </c>
      <c r="H131" s="108">
        <f>IF(LEFT($A$129,5)="blank",0,H54/'Input Global'!H$21)</f>
        <v>1.7630140513797794</v>
      </c>
    </row>
    <row r="132" spans="1:8" x14ac:dyDescent="0.3">
      <c r="A132" t="str">
        <f t="shared" si="15"/>
        <v>Distribution</v>
      </c>
      <c r="C132" t="s">
        <v>11</v>
      </c>
      <c r="D132" s="108">
        <f>IF(LEFT($A$129,5)="blank",0,D55/'Input Global'!D$21)</f>
        <v>0</v>
      </c>
      <c r="E132" s="108">
        <f>IF(LEFT($A$129,5)="blank",0,E55/'Input Global'!E$21)</f>
        <v>7.8178721046633237</v>
      </c>
      <c r="F132" s="108">
        <f>IF(LEFT($A$129,5)="blank",0,F55/'Input Global'!F$21)</f>
        <v>8.7512934004952605</v>
      </c>
      <c r="G132" s="108">
        <f>IF(LEFT($A$129,5)="blank",0,G55/'Input Global'!G$21)</f>
        <v>10.104781774798054</v>
      </c>
      <c r="H132" s="108">
        <f>IF(LEFT($A$129,5)="blank",0,H55/'Input Global'!H$21)</f>
        <v>11.630326020023276</v>
      </c>
    </row>
    <row r="133" spans="1:8" ht="15" x14ac:dyDescent="0.25">
      <c r="A133" s="158"/>
      <c r="B133" s="158"/>
      <c r="C133" s="158"/>
      <c r="D133" s="158"/>
      <c r="E133" s="158"/>
      <c r="F133" s="158"/>
      <c r="G133" s="158"/>
      <c r="H133" s="158"/>
    </row>
    <row r="134" spans="1:8" x14ac:dyDescent="0.3">
      <c r="A134" t="str">
        <f t="shared" si="15"/>
        <v>Retail and Wholesale</v>
      </c>
      <c r="C134" t="s">
        <v>11</v>
      </c>
      <c r="D134" s="108">
        <f ca="1">IF(LEFT($A$129,5)="blank",0,D57/'Input Global'!D$21)</f>
        <v>7.9244250313030822</v>
      </c>
      <c r="E134" s="108">
        <f ca="1">IF(LEFT($A$129,5)="blank",0,E57/'Input Global'!E$21)</f>
        <v>16.66593869433494</v>
      </c>
      <c r="F134" s="108">
        <f ca="1">IF(LEFT($A$129,5)="blank",0,F57/'Input Global'!F$21)</f>
        <v>16.524894287038475</v>
      </c>
      <c r="G134" s="108">
        <f ca="1">IF(LEFT($A$129,5)="blank",0,G57/'Input Global'!G$21)</f>
        <v>17.615975188961794</v>
      </c>
      <c r="H134" s="108">
        <f ca="1">IF(LEFT($A$129,5)="blank",0,H57/'Input Global'!H$21)</f>
        <v>18.213910175359604</v>
      </c>
    </row>
    <row r="135" spans="1:8" x14ac:dyDescent="0.3">
      <c r="A135" t="str">
        <f t="shared" si="15"/>
        <v>Green Schemes</v>
      </c>
      <c r="C135" t="s">
        <v>11</v>
      </c>
      <c r="D135" s="103"/>
      <c r="E135" s="103"/>
      <c r="F135" s="103"/>
      <c r="G135" s="103"/>
      <c r="H135" s="103"/>
    </row>
    <row r="136" spans="1:8" x14ac:dyDescent="0.3">
      <c r="A136" s="11" t="str">
        <f t="shared" si="15"/>
        <v>Feed-in Tariffs</v>
      </c>
      <c r="C136" t="s">
        <v>11</v>
      </c>
      <c r="D136" s="108">
        <f>IF(LEFT($A$129,5)="blank",0,D59/'Input Global'!D$21)</f>
        <v>0</v>
      </c>
      <c r="E136" s="108">
        <f>IF(LEFT($A$129,5)="blank",0,E59/'Input Global'!E$21)</f>
        <v>0.15430765050398682</v>
      </c>
      <c r="F136" s="108">
        <f>IF(LEFT($A$129,5)="blank",0,F59/'Input Global'!F$21)</f>
        <v>0.161765663221349</v>
      </c>
      <c r="G136" s="108">
        <f>IF(LEFT($A$129,5)="blank",0,G59/'Input Global'!G$21)</f>
        <v>0.17015864597230129</v>
      </c>
      <c r="H136" s="108">
        <f>IF(LEFT($A$129,5)="blank",0,H59/'Input Global'!H$21)</f>
        <v>0.17790955718780202</v>
      </c>
    </row>
    <row r="137" spans="1:8" x14ac:dyDescent="0.3">
      <c r="A137" s="11" t="str">
        <f t="shared" si="15"/>
        <v>Carbon costs</v>
      </c>
      <c r="C137" t="s">
        <v>11</v>
      </c>
      <c r="D137" s="108">
        <f ca="1">IF(LEFT($A$129,5)="blank",0,D60/'Input Global'!D$21)</f>
        <v>0</v>
      </c>
      <c r="E137" s="108">
        <f ca="1">IF(LEFT($A$129,5)="blank",0,E60/'Input Global'!E$21)</f>
        <v>0</v>
      </c>
      <c r="F137" s="108">
        <f ca="1">IF(LEFT($A$129,5)="blank",0,F60/'Input Global'!F$21)</f>
        <v>2.2400000000000002</v>
      </c>
      <c r="G137" s="108">
        <f ca="1">IF(LEFT($A$129,5)="blank",0,G60/'Input Global'!G$21)</f>
        <v>2.3554214357085517</v>
      </c>
      <c r="H137" s="108">
        <f ca="1">IF(LEFT($A$129,5)="blank",0,H60/'Input Global'!H$21)</f>
        <v>2.4723602825560671</v>
      </c>
    </row>
    <row r="138" spans="1:8" x14ac:dyDescent="0.3">
      <c r="A138" s="11" t="str">
        <f t="shared" si="15"/>
        <v>Large Scale Renewable Energy Target</v>
      </c>
      <c r="C138" t="s">
        <v>11</v>
      </c>
      <c r="D138" s="108">
        <f ca="1">IF(LEFT($A$129,5)="blank",0,D61/'Input Global'!D$21)</f>
        <v>0.25473754178777863</v>
      </c>
      <c r="E138" s="108">
        <f ca="1">IF(LEFT($A$129,5)="blank",0,E61/'Input Global'!E$21)</f>
        <v>0.44267417909205159</v>
      </c>
      <c r="F138" s="108">
        <f ca="1">IF(LEFT($A$129,5)="blank",0,F61/'Input Global'!F$21)</f>
        <v>0.6628193665535661</v>
      </c>
      <c r="G138" s="108">
        <f ca="1">IF(LEFT($A$129,5)="blank",0,G61/'Input Global'!G$21)</f>
        <v>0.71024845158378325</v>
      </c>
      <c r="H138" s="108">
        <f ca="1">IF(LEFT($A$129,5)="blank",0,H61/'Input Global'!H$21)</f>
        <v>0.7521221457524595</v>
      </c>
    </row>
    <row r="139" spans="1:8" x14ac:dyDescent="0.3">
      <c r="A139" s="11" t="str">
        <f t="shared" si="15"/>
        <v>Small Scale Renewable Energy Scheme</v>
      </c>
      <c r="C139" t="s">
        <v>11</v>
      </c>
      <c r="D139" s="108">
        <f ca="1">IF(LEFT($A$129,5)="blank",0,D62/'Input Global'!D$21)</f>
        <v>0.43999227350852893</v>
      </c>
      <c r="E139" s="108">
        <f ca="1">IF(LEFT($A$129,5)="blank",0,E62/'Input Global'!E$21)</f>
        <v>0.52897443353026441</v>
      </c>
      <c r="F139" s="108">
        <f ca="1">IF(LEFT($A$129,5)="blank",0,F62/'Input Global'!F$21)</f>
        <v>0.2881821035194338</v>
      </c>
      <c r="G139" s="108">
        <f ca="1">IF(LEFT($A$129,5)="blank",0,G62/'Input Global'!G$21)</f>
        <v>0.12683626123551256</v>
      </c>
      <c r="H139" s="108">
        <f ca="1">IF(LEFT($A$129,5)="blank",0,H62/'Input Global'!H$21)</f>
        <v>0.11021384523313771</v>
      </c>
    </row>
    <row r="140" spans="1:8" x14ac:dyDescent="0.3">
      <c r="A140" s="11" t="str">
        <f t="shared" si="15"/>
        <v>Energy Saver Incentive</v>
      </c>
      <c r="C140" t="s">
        <v>11</v>
      </c>
      <c r="D140" s="108">
        <f ca="1">IF(LEFT($A$129,5)="blank",0,D63/'Input Global'!D$21)</f>
        <v>0.39</v>
      </c>
      <c r="E140" s="108">
        <f ca="1">IF(LEFT($A$129,5)="blank",0,E63/'Input Global'!E$21)</f>
        <v>0.39</v>
      </c>
      <c r="F140" s="108">
        <f ca="1">IF(LEFT($A$129,5)="blank",0,F63/'Input Global'!F$21)</f>
        <v>0.38</v>
      </c>
      <c r="G140" s="108">
        <f ca="1">IF(LEFT($A$129,5)="blank",0,G63/'Input Global'!G$21)</f>
        <v>0.38</v>
      </c>
      <c r="H140" s="108">
        <f ca="1">IF(LEFT($A$129,5)="blank",0,H63/'Input Global'!H$21)</f>
        <v>0.38</v>
      </c>
    </row>
    <row r="141" spans="1:8" x14ac:dyDescent="0.3">
      <c r="A141" s="11" t="str">
        <f t="shared" si="15"/>
        <v>blank</v>
      </c>
      <c r="C141" t="s">
        <v>11</v>
      </c>
      <c r="D141" s="108">
        <f ca="1">IF(LEFT($A$129,5)="blank",0,D64/'Input Global'!D$21)</f>
        <v>0</v>
      </c>
      <c r="E141" s="108">
        <f ca="1">IF(LEFT($A$129,5)="blank",0,E64/'Input Global'!E$21)</f>
        <v>0</v>
      </c>
      <c r="F141" s="108">
        <f ca="1">IF(LEFT($A$129,5)="blank",0,F64/'Input Global'!F$21)</f>
        <v>0</v>
      </c>
      <c r="G141" s="108">
        <f ca="1">IF(LEFT($A$129,5)="blank",0,G64/'Input Global'!G$21)</f>
        <v>0</v>
      </c>
      <c r="H141" s="108">
        <f ca="1">IF(LEFT($A$129,5)="blank",0,H64/'Input Global'!H$21)</f>
        <v>0</v>
      </c>
    </row>
    <row r="142" spans="1:8" x14ac:dyDescent="0.3">
      <c r="A142" s="12" t="s">
        <v>53</v>
      </c>
      <c r="B142" s="12"/>
      <c r="C142" s="12" t="s">
        <v>11</v>
      </c>
      <c r="D142" s="108">
        <f ca="1">SUM(D130:D141)</f>
        <v>9.0091548465993903</v>
      </c>
      <c r="E142" s="108">
        <f t="shared" ref="E142:H142" ca="1" si="16">SUM(E130:E141)</f>
        <v>27.655937121771238</v>
      </c>
      <c r="F142" s="108">
        <f t="shared" ca="1" si="16"/>
        <v>30.700000000000003</v>
      </c>
      <c r="G142" s="108">
        <f t="shared" ca="1" si="16"/>
        <v>33.190076446493322</v>
      </c>
      <c r="H142" s="108">
        <f t="shared" ca="1" si="16"/>
        <v>35.499856077492133</v>
      </c>
    </row>
    <row r="144" spans="1:8" x14ac:dyDescent="0.3">
      <c r="A144" s="8" t="str">
        <f>Dist5</f>
        <v>Jemena</v>
      </c>
    </row>
    <row r="145" spans="1:8" ht="15" x14ac:dyDescent="0.25">
      <c r="A145" s="158"/>
      <c r="B145" s="158"/>
      <c r="C145" s="158"/>
      <c r="D145" s="158"/>
      <c r="E145" s="158"/>
      <c r="F145" s="158"/>
      <c r="G145" s="158"/>
      <c r="H145" s="158"/>
    </row>
    <row r="146" spans="1:8" x14ac:dyDescent="0.3">
      <c r="A146" t="str">
        <f t="shared" ref="A146:A156" si="17">A131</f>
        <v>Transmission</v>
      </c>
      <c r="C146" t="s">
        <v>11</v>
      </c>
      <c r="D146" s="108">
        <f>IF(LEFT($A$144,5)="blank",0,D69/'Input Global'!D$22)</f>
        <v>0</v>
      </c>
      <c r="E146" s="108">
        <f>IF(LEFT($A$144,5)="blank",0,E69/'Input Global'!E$22)</f>
        <v>1.0040285135037108</v>
      </c>
      <c r="F146" s="108">
        <f>IF(LEFT($A$144,5)="blank",0,F69/'Input Global'!F$22)</f>
        <v>1.0268033134482082</v>
      </c>
      <c r="G146" s="108">
        <f>IF(LEFT($A$144,5)="blank",0,G69/'Input Global'!G$22)</f>
        <v>1.0503894710336108</v>
      </c>
      <c r="H146" s="108">
        <f>IF(LEFT($A$144,5)="blank",0,H69/'Input Global'!H$22)</f>
        <v>1.074081486041951</v>
      </c>
    </row>
    <row r="147" spans="1:8" x14ac:dyDescent="0.3">
      <c r="A147" t="str">
        <f t="shared" si="17"/>
        <v>Distribution</v>
      </c>
      <c r="C147" t="s">
        <v>11</v>
      </c>
      <c r="D147" s="108">
        <f>IF(LEFT($A$144,5)="blank",0,D70/'Input Global'!D$22)</f>
        <v>0</v>
      </c>
      <c r="E147" s="108">
        <f>IF(LEFT($A$144,5)="blank",0,E70/'Input Global'!E$22)</f>
        <v>9.8414227231675628</v>
      </c>
      <c r="F147" s="108">
        <f>IF(LEFT($A$144,5)="blank",0,F70/'Input Global'!F$22)</f>
        <v>10.825812367061719</v>
      </c>
      <c r="G147" s="108">
        <f>IF(LEFT($A$144,5)="blank",0,G70/'Input Global'!G$22)</f>
        <v>11.712147400082355</v>
      </c>
      <c r="H147" s="108">
        <f>IF(LEFT($A$144,5)="blank",0,H70/'Input Global'!H$22)</f>
        <v>12.348140869279707</v>
      </c>
    </row>
    <row r="148" spans="1:8" ht="15" x14ac:dyDescent="0.25">
      <c r="A148" s="158"/>
      <c r="B148" s="158"/>
      <c r="C148" s="158"/>
      <c r="D148" s="158"/>
      <c r="E148" s="158"/>
      <c r="F148" s="158"/>
      <c r="G148" s="158"/>
      <c r="H148" s="158"/>
    </row>
    <row r="149" spans="1:8" x14ac:dyDescent="0.3">
      <c r="A149" t="str">
        <f t="shared" si="17"/>
        <v>Retail and Wholesale</v>
      </c>
      <c r="C149" t="s">
        <v>11</v>
      </c>
      <c r="D149" s="108">
        <f ca="1">IF(LEFT($A$144,5)="blank",0,D72/'Input Global'!D$22)</f>
        <v>7.8082776975079664</v>
      </c>
      <c r="E149" s="108">
        <f ca="1">IF(LEFT($A$144,5)="blank",0,E72/'Input Global'!E$22)</f>
        <v>16.878563098428042</v>
      </c>
      <c r="F149" s="108">
        <f ca="1">IF(LEFT($A$144,5)="blank",0,F72/'Input Global'!F$22)</f>
        <v>17.226157849417046</v>
      </c>
      <c r="G149" s="108">
        <f ca="1">IF(LEFT($A$144,5)="blank",0,G72/'Input Global'!G$22)</f>
        <v>17.048223049624227</v>
      </c>
      <c r="H149" s="108">
        <f ca="1">IF(LEFT($A$144,5)="blank",0,H72/'Input Global'!H$22)</f>
        <v>17.58397250620191</v>
      </c>
    </row>
    <row r="150" spans="1:8" x14ac:dyDescent="0.3">
      <c r="A150" t="str">
        <f t="shared" si="17"/>
        <v>Green Schemes</v>
      </c>
      <c r="C150" t="s">
        <v>11</v>
      </c>
      <c r="D150" s="103"/>
      <c r="E150" s="103"/>
      <c r="F150" s="103"/>
      <c r="G150" s="103"/>
      <c r="H150" s="103"/>
    </row>
    <row r="151" spans="1:8" x14ac:dyDescent="0.3">
      <c r="A151" s="11" t="str">
        <f t="shared" si="17"/>
        <v>Feed-in Tariffs</v>
      </c>
      <c r="C151" t="s">
        <v>11</v>
      </c>
      <c r="D151" s="108">
        <f>IF(LEFT($A$144,5)="blank",0,D74/'Input Global'!D$22)</f>
        <v>0</v>
      </c>
      <c r="E151" s="108">
        <f>IF(LEFT($A$144,5)="blank",0,E74/'Input Global'!E$22)</f>
        <v>4.9000000000000002E-2</v>
      </c>
      <c r="F151" s="108">
        <f>IF(LEFT($A$144,5)="blank",0,F74/'Input Global'!F$22)</f>
        <v>5.0224999999999999E-2</v>
      </c>
      <c r="G151" s="108">
        <f>IF(LEFT($A$144,5)="blank",0,G74/'Input Global'!G$22)</f>
        <v>5.1480624999999988E-2</v>
      </c>
      <c r="H151" s="108">
        <f>IF(LEFT($A$144,5)="blank",0,H74/'Input Global'!H$22)</f>
        <v>5.276764062499998E-2</v>
      </c>
    </row>
    <row r="152" spans="1:8" x14ac:dyDescent="0.3">
      <c r="A152" s="11" t="str">
        <f t="shared" si="17"/>
        <v>Carbon costs</v>
      </c>
      <c r="C152" t="s">
        <v>11</v>
      </c>
      <c r="D152" s="108">
        <f ca="1">IF(LEFT($A$144,5)="blank",0,D75/'Input Global'!D$22)</f>
        <v>0</v>
      </c>
      <c r="E152" s="108">
        <f ca="1">IF(LEFT($A$144,5)="blank",0,E75/'Input Global'!E$22)</f>
        <v>0</v>
      </c>
      <c r="F152" s="108">
        <f ca="1">IF(LEFT($A$144,5)="blank",0,F75/'Input Global'!F$22)</f>
        <v>2.2400000000000002</v>
      </c>
      <c r="G152" s="108">
        <f ca="1">IF(LEFT($A$144,5)="blank",0,G75/'Input Global'!G$22)</f>
        <v>2.3553955788606236</v>
      </c>
      <c r="H152" s="108">
        <f ca="1">IF(LEFT($A$144,5)="blank",0,H75/'Input Global'!H$22)</f>
        <v>2.4723212421797451</v>
      </c>
    </row>
    <row r="153" spans="1:8" x14ac:dyDescent="0.3">
      <c r="A153" s="11" t="str">
        <f t="shared" si="17"/>
        <v>Large Scale Renewable Energy Target</v>
      </c>
      <c r="C153" t="s">
        <v>11</v>
      </c>
      <c r="D153" s="108">
        <f ca="1">IF(LEFT($A$144,5)="blank",0,D76/'Input Global'!D$22)</f>
        <v>0.25473754178777863</v>
      </c>
      <c r="E153" s="108">
        <f ca="1">IF(LEFT($A$144,5)="blank",0,E76/'Input Global'!E$22)</f>
        <v>0.44267417909205159</v>
      </c>
      <c r="F153" s="108">
        <f ca="1">IF(LEFT($A$144,5)="blank",0,F76/'Input Global'!F$22)</f>
        <v>0.6628193665535661</v>
      </c>
      <c r="G153" s="108">
        <f ca="1">IF(LEFT($A$144,5)="blank",0,G76/'Input Global'!G$22)</f>
        <v>0.71024845158378325</v>
      </c>
      <c r="H153" s="108">
        <f ca="1">IF(LEFT($A$144,5)="blank",0,H76/'Input Global'!H$22)</f>
        <v>0.7521221457524595</v>
      </c>
    </row>
    <row r="154" spans="1:8" x14ac:dyDescent="0.3">
      <c r="A154" s="11" t="str">
        <f t="shared" si="17"/>
        <v>Small Scale Renewable Energy Scheme</v>
      </c>
      <c r="C154" t="s">
        <v>11</v>
      </c>
      <c r="D154" s="108">
        <f ca="1">IF(LEFT($A$144,5)="blank",0,D77/'Input Global'!D$22)</f>
        <v>0.43999227350852893</v>
      </c>
      <c r="E154" s="108">
        <f ca="1">IF(LEFT($A$144,5)="blank",0,E77/'Input Global'!E$22)</f>
        <v>0.52897443353026441</v>
      </c>
      <c r="F154" s="108">
        <f ca="1">IF(LEFT($A$144,5)="blank",0,F77/'Input Global'!F$22)</f>
        <v>0.2881821035194338</v>
      </c>
      <c r="G154" s="108">
        <f ca="1">IF(LEFT($A$144,5)="blank",0,G77/'Input Global'!G$22)</f>
        <v>0.12683626123551256</v>
      </c>
      <c r="H154" s="108">
        <f ca="1">IF(LEFT($A$144,5)="blank",0,H77/'Input Global'!H$22)</f>
        <v>0.11021384523313771</v>
      </c>
    </row>
    <row r="155" spans="1:8" x14ac:dyDescent="0.3">
      <c r="A155" s="11" t="str">
        <f t="shared" si="17"/>
        <v>Energy Saver Incentive</v>
      </c>
      <c r="C155" t="s">
        <v>11</v>
      </c>
      <c r="D155" s="108">
        <f ca="1">IF(LEFT($A$144,5)="blank",0,D78/'Input Global'!D$22)</f>
        <v>0.39</v>
      </c>
      <c r="E155" s="108">
        <f ca="1">IF(LEFT($A$144,5)="blank",0,E78/'Input Global'!E$22)</f>
        <v>0.39</v>
      </c>
      <c r="F155" s="108">
        <f ca="1">IF(LEFT($A$144,5)="blank",0,F78/'Input Global'!F$22)</f>
        <v>0.38</v>
      </c>
      <c r="G155" s="108">
        <f ca="1">IF(LEFT($A$144,5)="blank",0,G78/'Input Global'!G$22)</f>
        <v>0.38</v>
      </c>
      <c r="H155" s="108">
        <f ca="1">IF(LEFT($A$144,5)="blank",0,H78/'Input Global'!H$22)</f>
        <v>0.38</v>
      </c>
    </row>
    <row r="156" spans="1:8" x14ac:dyDescent="0.3">
      <c r="A156" s="11" t="str">
        <f t="shared" si="17"/>
        <v>blank</v>
      </c>
      <c r="C156" t="s">
        <v>11</v>
      </c>
      <c r="D156" s="108">
        <f ca="1">IF(LEFT($A$144,5)="blank",0,D79/'Input Global'!D$22)</f>
        <v>0</v>
      </c>
      <c r="E156" s="108">
        <f ca="1">IF(LEFT($A$144,5)="blank",0,E79/'Input Global'!E$22)</f>
        <v>0</v>
      </c>
      <c r="F156" s="108">
        <f ca="1">IF(LEFT($A$144,5)="blank",0,F79/'Input Global'!F$22)</f>
        <v>0</v>
      </c>
      <c r="G156" s="108">
        <f ca="1">IF(LEFT($A$144,5)="blank",0,G79/'Input Global'!G$22)</f>
        <v>0</v>
      </c>
      <c r="H156" s="108">
        <f ca="1">IF(LEFT($A$144,5)="blank",0,H79/'Input Global'!H$22)</f>
        <v>0</v>
      </c>
    </row>
    <row r="157" spans="1:8" x14ac:dyDescent="0.3">
      <c r="A157" s="12" t="s">
        <v>53</v>
      </c>
      <c r="B157" s="12"/>
      <c r="C157" s="12" t="s">
        <v>11</v>
      </c>
      <c r="D157" s="108">
        <f ca="1">SUM(D145:D156)</f>
        <v>8.8930075128042745</v>
      </c>
      <c r="E157" s="108">
        <f t="shared" ref="E157:H157" ca="1" si="18">SUM(E145:E156)</f>
        <v>29.134662947721633</v>
      </c>
      <c r="F157" s="108">
        <f t="shared" ca="1" si="18"/>
        <v>32.699999999999974</v>
      </c>
      <c r="G157" s="108">
        <f t="shared" ca="1" si="18"/>
        <v>33.434720837420109</v>
      </c>
      <c r="H157" s="108">
        <f t="shared" ca="1" si="18"/>
        <v>34.773619735313915</v>
      </c>
    </row>
    <row r="159" spans="1:8" ht="18.75" x14ac:dyDescent="0.3">
      <c r="A159" s="1" t="s">
        <v>66</v>
      </c>
    </row>
    <row r="160" spans="1:8" x14ac:dyDescent="0.3">
      <c r="A160" t="str">
        <f>Dist1</f>
        <v>Citipower</v>
      </c>
      <c r="B160" t="s">
        <v>36</v>
      </c>
      <c r="C160" t="s">
        <v>22</v>
      </c>
      <c r="D160" s="109">
        <f>'Input Global'!D25/'Input Global'!D$30</f>
        <v>0.10272024643169531</v>
      </c>
      <c r="E160" s="109">
        <f>'Input Global'!E25/'Input Global'!E$30</f>
        <v>0.10247739049784825</v>
      </c>
      <c r="F160" s="109">
        <f>'Input Global'!F25/'Input Global'!F$30</f>
        <v>0.10188672972259502</v>
      </c>
      <c r="G160" s="109">
        <f>'Input Global'!G25/'Input Global'!G$30</f>
        <v>0.1012396121372746</v>
      </c>
      <c r="H160" s="109">
        <f>'Input Global'!H25/'Input Global'!H$30</f>
        <v>0.10090806788173845</v>
      </c>
    </row>
    <row r="161" spans="1:8" x14ac:dyDescent="0.3">
      <c r="A161" t="str">
        <f>Dist2</f>
        <v>Powercor</v>
      </c>
      <c r="B161" t="s">
        <v>36</v>
      </c>
      <c r="C161" t="s">
        <v>22</v>
      </c>
      <c r="D161" s="109">
        <f>'Input Global'!D26/'Input Global'!D$30</f>
        <v>0.26528704439176137</v>
      </c>
      <c r="E161" s="109">
        <f>'Input Global'!E26/'Input Global'!E$30</f>
        <v>0.26688783896508689</v>
      </c>
      <c r="F161" s="109">
        <f>'Input Global'!F26/'Input Global'!F$30</f>
        <v>0.26867554005988326</v>
      </c>
      <c r="G161" s="109">
        <f>'Input Global'!G26/'Input Global'!G$30</f>
        <v>0.27068858433367066</v>
      </c>
      <c r="H161" s="109">
        <f>'Input Global'!H26/'Input Global'!H$30</f>
        <v>0.27257402811011694</v>
      </c>
    </row>
    <row r="162" spans="1:8" x14ac:dyDescent="0.3">
      <c r="A162" t="str">
        <f>Dist3</f>
        <v>SP Ausnet</v>
      </c>
      <c r="B162" t="s">
        <v>36</v>
      </c>
      <c r="C162" t="s">
        <v>22</v>
      </c>
      <c r="D162" s="109">
        <f>'Input Global'!D27/'Input Global'!D$30</f>
        <v>0.21743277923006957</v>
      </c>
      <c r="E162" s="109">
        <f>'Input Global'!E27/'Input Global'!E$30</f>
        <v>0.21875450325303131</v>
      </c>
      <c r="F162" s="109">
        <f>'Input Global'!F27/'Input Global'!F$30</f>
        <v>0.22016442193759983</v>
      </c>
      <c r="G162" s="109">
        <f>'Input Global'!G27/'Input Global'!G$30</f>
        <v>0.22133700993839256</v>
      </c>
      <c r="H162" s="109">
        <f>'Input Global'!H27/'Input Global'!H$30</f>
        <v>0.22232137015211889</v>
      </c>
    </row>
    <row r="163" spans="1:8" x14ac:dyDescent="0.3">
      <c r="A163" t="str">
        <f>Dist4</f>
        <v>United</v>
      </c>
      <c r="B163" t="s">
        <v>36</v>
      </c>
      <c r="C163" t="s">
        <v>22</v>
      </c>
      <c r="D163" s="109">
        <f>'Input Global'!D28/'Input Global'!D$30</f>
        <v>0.27803821300861098</v>
      </c>
      <c r="E163" s="109">
        <f>'Input Global'!E28/'Input Global'!E$30</f>
        <v>0.27579462361978679</v>
      </c>
      <c r="F163" s="109">
        <f>'Input Global'!F28/'Input Global'!F$30</f>
        <v>0.27366096205609564</v>
      </c>
      <c r="G163" s="109">
        <f>'Input Global'!G28/'Input Global'!G$30</f>
        <v>0.27165615253712266</v>
      </c>
      <c r="H163" s="109">
        <f>'Input Global'!H28/'Input Global'!H$30</f>
        <v>0.26967117275357122</v>
      </c>
    </row>
    <row r="164" spans="1:8" x14ac:dyDescent="0.3">
      <c r="A164" t="str">
        <f>Dist5</f>
        <v>Jemena</v>
      </c>
      <c r="B164" t="s">
        <v>36</v>
      </c>
      <c r="C164" t="s">
        <v>22</v>
      </c>
      <c r="D164" s="109">
        <f>'Input Global'!D29/'Input Global'!D$30</f>
        <v>0.13652171693786272</v>
      </c>
      <c r="E164" s="109">
        <f>'Input Global'!E29/'Input Global'!E$30</f>
        <v>0.13608564366424677</v>
      </c>
      <c r="F164" s="109">
        <f>'Input Global'!F29/'Input Global'!F$30</f>
        <v>0.1356123462238262</v>
      </c>
      <c r="G164" s="109">
        <f>'Input Global'!G29/'Input Global'!G$30</f>
        <v>0.13507864105353951</v>
      </c>
      <c r="H164" s="109">
        <f>'Input Global'!H29/'Input Global'!H$30</f>
        <v>0.13452536110245453</v>
      </c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6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164"/>
  <sheetViews>
    <sheetView zoomScaleNormal="100" workbookViewId="0">
      <pane xSplit="3" ySplit="4" topLeftCell="D5" activePane="bottomRight" state="frozenSplit"/>
      <selection activeCell="K17" sqref="K17"/>
      <selection pane="topRight" activeCell="K17" sqref="K17"/>
      <selection pane="bottomLeft" activeCell="K17" sqref="K17"/>
      <selection pane="bottomRight" activeCell="I10" sqref="I10"/>
    </sheetView>
  </sheetViews>
  <sheetFormatPr defaultRowHeight="16.5" x14ac:dyDescent="0.3"/>
  <cols>
    <col min="1" max="1" width="20.28515625" bestFit="1" customWidth="1"/>
    <col min="2" max="2" width="14.140625" customWidth="1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.7109375" bestFit="1" customWidth="1"/>
    <col min="15" max="15" width="10.5703125" bestFit="1" customWidth="1"/>
  </cols>
  <sheetData>
    <row r="1" spans="1:16" s="2" customFormat="1" ht="23.25" x14ac:dyDescent="0.35">
      <c r="A1" s="2" t="s">
        <v>1</v>
      </c>
      <c r="B1" s="7" t="str">
        <f ca="1">'Input Global'!B1</f>
        <v>2012 Pricing Trends - model - Vic</v>
      </c>
      <c r="C1" s="5"/>
      <c r="D1" s="99"/>
      <c r="E1" s="99"/>
      <c r="F1" s="99"/>
      <c r="G1" s="98"/>
      <c r="H1" s="98"/>
      <c r="I1" s="79" t="s">
        <v>30</v>
      </c>
    </row>
    <row r="2" spans="1:16" s="2" customFormat="1" ht="19.5" thickBot="1" x14ac:dyDescent="0.35">
      <c r="B2" s="4" t="str">
        <f ca="1">RIGHT(CELL("filename",B2),LEN(CELL("filename",B2))-SEARCH("]",CELL("filename",B2)))</f>
        <v>Calc (Market Planning Case)</v>
      </c>
      <c r="C2" s="3"/>
      <c r="D2" s="100"/>
      <c r="E2" s="100"/>
      <c r="F2" s="100"/>
      <c r="G2" s="98"/>
      <c r="H2" s="98"/>
      <c r="I2" s="85" t="s">
        <v>24</v>
      </c>
    </row>
    <row r="3" spans="1:16" s="2" customFormat="1" ht="17.25" thickBot="1" x14ac:dyDescent="0.35">
      <c r="D3" s="98"/>
      <c r="E3" s="98"/>
      <c r="F3" s="98"/>
      <c r="G3" s="98"/>
      <c r="H3" s="98"/>
      <c r="I3" s="86" t="s">
        <v>31</v>
      </c>
    </row>
    <row r="4" spans="1:16" s="2" customFormat="1" ht="15" x14ac:dyDescent="0.25">
      <c r="B4" s="6"/>
      <c r="C4" s="6" t="s">
        <v>8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" t="s">
        <v>37</v>
      </c>
      <c r="B6" s="1" t="s">
        <v>41</v>
      </c>
    </row>
    <row r="7" spans="1:16" x14ac:dyDescent="0.3">
      <c r="A7" s="8" t="str">
        <f>Dist1</f>
        <v>Citipower</v>
      </c>
    </row>
    <row r="8" spans="1:16" ht="15" x14ac:dyDescent="0.25">
      <c r="A8" s="158"/>
      <c r="B8" s="158"/>
      <c r="C8" s="158"/>
      <c r="D8" s="158"/>
      <c r="E8" s="158"/>
      <c r="F8" s="158"/>
      <c r="G8" s="158"/>
      <c r="H8" s="158"/>
      <c r="J8" s="158"/>
      <c r="K8" s="158"/>
      <c r="L8" s="158"/>
      <c r="M8" s="158"/>
      <c r="N8" s="158"/>
    </row>
    <row r="9" spans="1:16" x14ac:dyDescent="0.3">
      <c r="A9" t="str">
        <f>'Calc (Jurisdiction)'!A9</f>
        <v>Transmission</v>
      </c>
      <c r="C9" t="s">
        <v>55</v>
      </c>
      <c r="D9" s="108">
        <f>'Input General'!D8+(SUMPRODUCT('Input General'!D9:D12,'Input General'!D111:D114)*'Input Global'!D18)</f>
        <v>0</v>
      </c>
      <c r="E9" s="108">
        <f>'Input General'!E8+(SUMPRODUCT('Input General'!E9:E12,'Input General'!E111:E114)*'Input Global'!E18)</f>
        <v>4694.603625148784</v>
      </c>
      <c r="F9" s="108">
        <f>'Input General'!F8+(SUMPRODUCT('Input General'!F9:F12,'Input General'!F111:F114)*'Input Global'!F18)</f>
        <v>4697.2238014486502</v>
      </c>
      <c r="G9" s="108">
        <f>'Input General'!G8+(SUMPRODUCT('Input General'!G9:G12,'Input General'!G111:G114)*'Input Global'!G18)</f>
        <v>4685.8090720490854</v>
      </c>
      <c r="H9" s="108">
        <f>'Input General'!H8+(SUMPRODUCT('Input General'!H9:H12,'Input General'!H111:H114)*'Input Global'!H18)</f>
        <v>4700.0585595945067</v>
      </c>
    </row>
    <row r="10" spans="1:16" x14ac:dyDescent="0.3">
      <c r="A10" t="str">
        <f>'Calc (Jurisdiction)'!A10</f>
        <v>Distribution</v>
      </c>
      <c r="C10" t="s">
        <v>55</v>
      </c>
      <c r="D10" s="108">
        <f>'Input General'!D40+SUMPRODUCT('Input General'!D41:D44,'Input General'!D111:D114)*'Input Global'!D18+'Input General'!D71</f>
        <v>0</v>
      </c>
      <c r="E10" s="108">
        <f>'Input General'!E40+SUMPRODUCT('Input General'!E41:E44,'Input General'!E111:E114)*'Input Global'!E18+'Input General'!E71</f>
        <v>32059.456764202627</v>
      </c>
      <c r="F10" s="108">
        <f>'Input General'!F40+SUMPRODUCT('Input General'!F41:F44,'Input General'!F111:F114)*'Input Global'!F18+'Input General'!F71</f>
        <v>35159.618836465401</v>
      </c>
      <c r="G10" s="108">
        <f>'Input General'!G40+SUMPRODUCT('Input General'!G41:G44,'Input General'!G111:G114)*'Input Global'!G18+'Input General'!G71</f>
        <v>39043.377165682046</v>
      </c>
      <c r="H10" s="108">
        <f>'Input General'!H40+SUMPRODUCT('Input General'!H41:H44,'Input General'!H111:H114)*'Input Global'!H18+'Input General'!H71</f>
        <v>43196.416979369867</v>
      </c>
      <c r="P10" s="9"/>
    </row>
    <row r="11" spans="1:16" ht="15" x14ac:dyDescent="0.25">
      <c r="A11" s="158"/>
      <c r="B11" s="158"/>
      <c r="C11" s="158"/>
      <c r="D11" s="158"/>
      <c r="E11" s="158"/>
      <c r="F11" s="158"/>
      <c r="G11" s="158"/>
      <c r="H11" s="158"/>
      <c r="K11" s="14"/>
      <c r="M11" s="13"/>
      <c r="O11" s="9"/>
      <c r="P11" s="9"/>
    </row>
    <row r="12" spans="1:16" x14ac:dyDescent="0.3">
      <c r="A12" t="str">
        <f>'Calc (Jurisdiction)'!A12</f>
        <v>Retail and Wholesale</v>
      </c>
      <c r="C12" t="s">
        <v>55</v>
      </c>
      <c r="D12" s="108">
        <f ca="1">VLOOKUP($B$2,'Input General'!$A$223:$H$227,COLUMN(D12),FALSE)*'Input Global'!D33+VLOOKUP($B$2,dist1wholesale,COLUMN('Calc (Jurisdiction)'!D8),FALSE)*'Input Global'!D18</f>
        <v>30197.211168410773</v>
      </c>
      <c r="E12" s="108">
        <f ca="1">VLOOKUP($B$2,'Input General'!$A$223:$H$227,COLUMN(E12),FALSE)*'Input Global'!E33+VLOOKUP($B$2,dist1wholesale,COLUMN('Calc (Jurisdiction)'!E8),FALSE)*'Input Global'!E18</f>
        <v>84698.965685383737</v>
      </c>
      <c r="F12" s="108">
        <f ca="1">VLOOKUP($B$2,'Input General'!$A$223:$H$227,COLUMN(F12),FALSE)*'Input Global'!F33+VLOOKUP($B$2,dist1wholesale,COLUMN('Calc (Jurisdiction)'!F8),FALSE)*'Input Global'!F18</f>
        <v>77515.170863852618</v>
      </c>
      <c r="G12" s="108">
        <f ca="1">VLOOKUP($B$2,'Input General'!$A$223:$H$227,COLUMN(G12),FALSE)*'Input Global'!G33+VLOOKUP($B$2,dist1wholesale,COLUMN('Calc (Jurisdiction)'!G8),FALSE)*'Input Global'!G18</f>
        <v>73983.7700157402</v>
      </c>
      <c r="H12" s="108">
        <f ca="1">VLOOKUP($B$2,'Input General'!$A$223:$H$227,COLUMN(H12),FALSE)*'Input Global'!H33+VLOOKUP($B$2,dist1wholesale,COLUMN('Calc (Jurisdiction)'!H8),FALSE)*'Input Global'!H18</f>
        <v>77252.166002058453</v>
      </c>
      <c r="K12" s="14"/>
      <c r="M12" s="13"/>
      <c r="O12" s="9"/>
      <c r="P12" s="9"/>
    </row>
    <row r="13" spans="1:16" x14ac:dyDescent="0.3">
      <c r="A13" t="str">
        <f>'Calc (Jurisdiction)'!A13</f>
        <v>Green Schemes</v>
      </c>
      <c r="D13" s="103"/>
      <c r="E13" s="103"/>
      <c r="F13" s="103"/>
      <c r="G13" s="103"/>
      <c r="H13" s="103"/>
      <c r="K13" s="14"/>
      <c r="M13" s="13"/>
      <c r="O13" s="9"/>
      <c r="P13" s="9"/>
    </row>
    <row r="14" spans="1:16" x14ac:dyDescent="0.3">
      <c r="A14" s="11" t="str">
        <f>'Calc (Jurisdiction)'!A14</f>
        <v>Feed-in Tariffs</v>
      </c>
      <c r="C14" t="s">
        <v>55</v>
      </c>
      <c r="D14" s="108">
        <f>'Input General'!D79+SUMPRODUCT('Input General'!D80:D83,'Input General'!D111:D114)*'Input Global'!D18</f>
        <v>0</v>
      </c>
      <c r="E14" s="108">
        <f>'Input General'!E79+SUMPRODUCT('Input General'!E80:E83,'Input General'!E111:E114)*'Input Global'!E18</f>
        <v>295.08339548072445</v>
      </c>
      <c r="F14" s="108">
        <f>'Input General'!F79+SUMPRODUCT('Input General'!F80:F83,'Input General'!F111:F114)*'Input Global'!F18</f>
        <v>299.07247235506139</v>
      </c>
      <c r="G14" s="108">
        <f>'Input General'!G79+SUMPRODUCT('Input General'!G80:G83,'Input General'!G111:G114)*'Input Global'!G18</f>
        <v>302.65024259572192</v>
      </c>
      <c r="H14" s="108">
        <f>'Input General'!H79+SUMPRODUCT('Input General'!H80:H83,'Input General'!H111:H114)*'Input Global'!H18</f>
        <v>307.22142213400855</v>
      </c>
    </row>
    <row r="15" spans="1:16" x14ac:dyDescent="0.3">
      <c r="A15" s="11" t="str">
        <f>'Calc (Jurisdiction)'!A15</f>
        <v>Carbon costs</v>
      </c>
      <c r="C15" t="s">
        <v>55</v>
      </c>
      <c r="D15" s="108">
        <f ca="1">VLOOKUP($B$2,'Input General'!$A$256:$H$260, COLUMN('Input General'!D256),FALSE)*'Input Global'!D$18</f>
        <v>0</v>
      </c>
      <c r="E15" s="108">
        <f ca="1">VLOOKUP($B$2,'Input General'!$A$256:$H$260, COLUMN('Input General'!E256),FALSE)*'Input Global'!E$18</f>
        <v>0</v>
      </c>
      <c r="F15" s="108">
        <f ca="1">VLOOKUP($B$2,'Input General'!$A$256:$H$260, COLUMN('Input General'!F256),FALSE)*'Input Global'!F$18</f>
        <v>10244.597444220091</v>
      </c>
      <c r="G15" s="108">
        <f ca="1">VLOOKUP($B$2,'Input General'!$A$256:$H$260, COLUMN('Input General'!G256),FALSE)*'Input Global'!G$18</f>
        <v>11169.943065000532</v>
      </c>
      <c r="H15" s="108">
        <f ca="1">VLOOKUP($B$2,'Input General'!$A$256:$H$260, COLUMN('Input General'!H256),FALSE)*'Input Global'!H$18</f>
        <v>10706.826509642957</v>
      </c>
      <c r="I15" s="10"/>
    </row>
    <row r="16" spans="1:16" x14ac:dyDescent="0.3">
      <c r="A16" s="11" t="str">
        <f>'Calc (Jurisdiction)'!A16</f>
        <v>Large Scale Renewable Energy Target</v>
      </c>
      <c r="C16" t="s">
        <v>55</v>
      </c>
      <c r="D16" s="108">
        <f ca="1">VLOOKUP($B$2,'Input General'!$A319:$H324,COLUMN(D16),FALSE)*'Input Global'!D18</f>
        <v>1207.2319490745772</v>
      </c>
      <c r="E16" s="108">
        <f ca="1">VLOOKUP($B$2,'Input General'!$A319:$H324,COLUMN(E16),FALSE)*'Input Global'!E18</f>
        <v>2070.6471001134769</v>
      </c>
      <c r="F16" s="108">
        <f ca="1">VLOOKUP($B$2,'Input General'!$A319:$H324,COLUMN(F16),FALSE)*'Input Global'!F18</f>
        <v>3031.3917806135009</v>
      </c>
      <c r="G16" s="108">
        <f ca="1">VLOOKUP($B$2,'Input General'!$A319:$H324,COLUMN(G16),FALSE)*'Input Global'!G18</f>
        <v>3165.2888405838162</v>
      </c>
      <c r="H16" s="108">
        <f ca="1">VLOOKUP($B$2,'Input General'!$A319:$H324,COLUMN(H16),FALSE)*'Input Global'!H18</f>
        <v>3286.0192301240681</v>
      </c>
      <c r="I16" s="10"/>
    </row>
    <row r="17" spans="1:14" x14ac:dyDescent="0.3">
      <c r="A17" s="11" t="str">
        <f>'Calc (Jurisdiction)'!A17</f>
        <v>Small Scale Renewable Energy Scheme</v>
      </c>
      <c r="C17" t="s">
        <v>55</v>
      </c>
      <c r="D17" s="108">
        <f ca="1">'Input General'!D139*'Input Global'!D18</f>
        <v>2085.1764769245315</v>
      </c>
      <c r="E17" s="108">
        <f ca="1">'Input General'!E139*'Input Global'!E18</f>
        <v>2474.3240707424361</v>
      </c>
      <c r="F17" s="108">
        <f ca="1">'Input General'!F139*'Input Global'!F18</f>
        <v>1317.9953755290896</v>
      </c>
      <c r="G17" s="108">
        <f ca="1">'Input General'!G139*'Input Global'!G18</f>
        <v>565.2577144681353</v>
      </c>
      <c r="H17" s="108">
        <f ca="1">'Input General'!H139*'Input Global'!H18</f>
        <v>481.5238788754375</v>
      </c>
      <c r="I17" s="10"/>
    </row>
    <row r="18" spans="1:14" x14ac:dyDescent="0.3">
      <c r="A18" s="11" t="str">
        <f>'Calc (Jurisdiction)'!A18</f>
        <v>Energy Saver Incentive</v>
      </c>
      <c r="C18" t="s">
        <v>55</v>
      </c>
      <c r="D18" s="108">
        <f ca="1">VLOOKUP($B$2,'Input General'!$A$159:$H$163,COLUMN(D18),FALSE)*'Input Global'!D$18</f>
        <v>1848.2570603249551</v>
      </c>
      <c r="E18" s="108">
        <f ca="1">VLOOKUP($B$2,'Input General'!$A$159:$H$163,COLUMN(E18),FALSE)*'Input Global'!E$18</f>
        <v>1824.2590311018121</v>
      </c>
      <c r="F18" s="108">
        <f ca="1">VLOOKUP($B$2,'Input General'!$A$159:$H$163,COLUMN(F18),FALSE)*'Input Global'!F$18</f>
        <v>1737.9227807159082</v>
      </c>
      <c r="G18" s="108">
        <f ca="1">VLOOKUP($B$2,'Input General'!$A$159:$H$163,COLUMN(G18),FALSE)*'Input Global'!G$18</f>
        <v>1693.5057010159676</v>
      </c>
      <c r="H18" s="108">
        <f ca="1">VLOOKUP($B$2,'Input General'!$A$159:$H$163,COLUMN(H18),FALSE)*'Input Global'!H$18</f>
        <v>1660.2185831154577</v>
      </c>
      <c r="I18" s="10"/>
    </row>
    <row r="19" spans="1:14" x14ac:dyDescent="0.3">
      <c r="A19" s="11" t="str">
        <f>'Calc (Jurisdiction)'!A19</f>
        <v>blank</v>
      </c>
      <c r="C19" t="s">
        <v>55</v>
      </c>
      <c r="D19" s="108">
        <f ca="1">VLOOKUP($B$2,'Input General'!$A$191:$H$195,COLUMN(D19),FALSE)*'Input Global'!D$18</f>
        <v>0</v>
      </c>
      <c r="E19" s="108">
        <f ca="1">VLOOKUP($B$2,'Input General'!$A$191:$H$195,COLUMN(E19),FALSE)*'Input Global'!E$18</f>
        <v>0</v>
      </c>
      <c r="F19" s="108">
        <f ca="1">VLOOKUP($B$2,'Input General'!$A$191:$H$195,COLUMN(F19),FALSE)*'Input Global'!F$18</f>
        <v>0</v>
      </c>
      <c r="G19" s="108">
        <f ca="1">VLOOKUP($B$2,'Input General'!$A$191:$H$195,COLUMN(G19),FALSE)*'Input Global'!G$18</f>
        <v>0</v>
      </c>
      <c r="H19" s="108">
        <f ca="1">VLOOKUP($B$2,'Input General'!$A$191:$H$195,COLUMN(H19),FALSE)*'Input Global'!H$18</f>
        <v>0</v>
      </c>
      <c r="I19" s="10"/>
    </row>
    <row r="20" spans="1:14" x14ac:dyDescent="0.3">
      <c r="A20" s="15" t="s">
        <v>53</v>
      </c>
      <c r="B20" s="12"/>
      <c r="C20" s="12" t="s">
        <v>55</v>
      </c>
      <c r="D20" s="108">
        <f ca="1">SUM(D8:D19)</f>
        <v>35337.876654734835</v>
      </c>
      <c r="E20" s="108">
        <f t="shared" ref="E20:H20" ca="1" si="0">SUM(E8:E19)</f>
        <v>128117.33967217362</v>
      </c>
      <c r="F20" s="108">
        <f t="shared" ca="1" si="0"/>
        <v>134002.99335520033</v>
      </c>
      <c r="G20" s="108">
        <f t="shared" ca="1" si="0"/>
        <v>134609.6018171355</v>
      </c>
      <c r="H20" s="108">
        <f t="shared" ca="1" si="0"/>
        <v>141590.45116491479</v>
      </c>
    </row>
    <row r="21" spans="1:14" x14ac:dyDescent="0.3">
      <c r="D21" s="102"/>
    </row>
    <row r="22" spans="1:14" x14ac:dyDescent="0.3">
      <c r="A22" s="8" t="str">
        <f>Dist2</f>
        <v>Powercor</v>
      </c>
    </row>
    <row r="23" spans="1:14" ht="15" x14ac:dyDescent="0.25">
      <c r="A23" s="158"/>
      <c r="B23" s="158"/>
      <c r="C23" s="158"/>
      <c r="D23" s="158"/>
      <c r="E23" s="158"/>
      <c r="F23" s="158"/>
      <c r="G23" s="158"/>
      <c r="H23" s="158"/>
    </row>
    <row r="24" spans="1:14" x14ac:dyDescent="0.3">
      <c r="A24" t="str">
        <f t="shared" ref="A24:A34" si="1">A9</f>
        <v>Transmission</v>
      </c>
      <c r="C24" t="s">
        <v>55</v>
      </c>
      <c r="D24" s="108">
        <f>IF(LEFT($A$22,5)="blank",0,'Input General'!D14+(SUMPRODUCT('Input General'!D15:D18,'Input General'!D116:D119)*'Input Global'!D19))</f>
        <v>0</v>
      </c>
      <c r="E24" s="108">
        <f>IF(LEFT($A$22,5)="blank",0,'Input General'!E14+(SUMPRODUCT('Input General'!E15:E18,'Input General'!E116:E119)*'Input Global'!E19))</f>
        <v>6202.9723446853313</v>
      </c>
      <c r="F24" s="108">
        <f>IF(LEFT($A$22,5)="blank",0,'Input General'!F14+(SUMPRODUCT('Input General'!F15:F18,'Input General'!F116:F119)*'Input Global'!F19))</f>
        <v>6218.6626950420305</v>
      </c>
      <c r="G24" s="108">
        <f>IF(LEFT($A$22,5)="blank",0,'Input General'!G14+(SUMPRODUCT('Input General'!G15:G18,'Input General'!G116:G119)*'Input Global'!G19))</f>
        <v>6217.8565908331775</v>
      </c>
      <c r="H24" s="108">
        <f>IF(LEFT($A$22,5)="blank",0,'Input General'!H14+(SUMPRODUCT('Input General'!H15:H18,'Input General'!H116:H119)*'Input Global'!H19))</f>
        <v>6247.9696549581267</v>
      </c>
      <c r="J24" s="158"/>
      <c r="K24" s="158"/>
      <c r="L24" s="158"/>
      <c r="M24" s="158"/>
      <c r="N24" s="158"/>
    </row>
    <row r="25" spans="1:14" x14ac:dyDescent="0.3">
      <c r="A25" t="str">
        <f t="shared" si="1"/>
        <v>Distribution</v>
      </c>
      <c r="C25" t="s">
        <v>55</v>
      </c>
      <c r="D25" s="108">
        <f>IF(LEFT($A$22,5)="blank",0,'Input General'!D46+SUMPRODUCT('Input General'!D47:D50,'Input General'!D116:D119)*'Input Global'!D19+'Input General'!D72)</f>
        <v>0</v>
      </c>
      <c r="E25" s="108">
        <f>IF(LEFT($A$22,5)="blank",0,'Input General'!E46+SUMPRODUCT('Input General'!E47:E50,'Input General'!E116:E119)*'Input Global'!E19+'Input General'!E72)</f>
        <v>40331.10512939922</v>
      </c>
      <c r="F25" s="108">
        <f>IF(LEFT($A$22,5)="blank",0,'Input General'!F46+SUMPRODUCT('Input General'!F47:F50,'Input General'!F116:F119)*'Input Global'!F19+'Input General'!F72)</f>
        <v>43627.331792973535</v>
      </c>
      <c r="G25" s="108">
        <f>IF(LEFT($A$22,5)="blank",0,'Input General'!G46+SUMPRODUCT('Input General'!G47:G50,'Input General'!G116:G119)*'Input Global'!G19+'Input General'!G72)</f>
        <v>47138.174574861368</v>
      </c>
      <c r="H25" s="108">
        <f>IF(LEFT($A$22,5)="blank",0,'Input General'!H46+SUMPRODUCT('Input General'!H47:H50,'Input General'!H116:H119)*'Input Global'!H19+'Input General'!H72)</f>
        <v>50952.858783241027</v>
      </c>
    </row>
    <row r="26" spans="1:14" ht="15" x14ac:dyDescent="0.25">
      <c r="A26" s="158"/>
      <c r="B26" s="158"/>
      <c r="C26" s="158"/>
      <c r="D26" s="158"/>
      <c r="E26" s="158"/>
      <c r="F26" s="158"/>
      <c r="G26" s="158"/>
      <c r="H26" s="158"/>
    </row>
    <row r="27" spans="1:14" x14ac:dyDescent="0.3">
      <c r="A27" t="str">
        <f t="shared" si="1"/>
        <v>Retail and Wholesale</v>
      </c>
      <c r="C27" t="s">
        <v>55</v>
      </c>
      <c r="D27" s="108">
        <f ca="1">IF(LEFT($A$22,5)="blank",0,VLOOKUP($B$2,'Input General'!$A$229:$H$233,COLUMN(D12),FALSE)*'Input Global'!D$34)+IF(LEFT($A$22,5)="blank",0,VLOOKUP($B$2,dist2wholesale,COLUMN(D8),FALSE)*'Input Global'!D19)</f>
        <v>34944.928044604494</v>
      </c>
      <c r="E27" s="108">
        <f ca="1">IF(LEFT($A$22,5)="blank",0,VLOOKUP($B$2,'Input General'!$A$229:$H$233,COLUMN(E12),FALSE)*'Input Global'!E$34)+IF(LEFT($A$22,5)="blank",0,VLOOKUP($B$2,dist2wholesale,COLUMN(E8),FALSE)*'Input Global'!E19)</f>
        <v>86550.234381842907</v>
      </c>
      <c r="F27" s="108">
        <f ca="1">IF(LEFT($A$22,5)="blank",0,VLOOKUP($B$2,'Input General'!$A$229:$H$233,COLUMN(F12),FALSE)*'Input Global'!F$34)+IF(LEFT($A$22,5)="blank",0,VLOOKUP($B$2,dist2wholesale,COLUMN(F8),FALSE)*'Input Global'!F19)</f>
        <v>84841.196151127282</v>
      </c>
      <c r="G27" s="108">
        <f ca="1">IF(LEFT($A$22,5)="blank",0,VLOOKUP($B$2,'Input General'!$A$229:$H$233,COLUMN(G12),FALSE)*'Input Global'!G$34)+IF(LEFT($A$22,5)="blank",0,VLOOKUP($B$2,dist2wholesale,COLUMN(G8),FALSE)*'Input Global'!G19)</f>
        <v>81249.263556831997</v>
      </c>
      <c r="H27" s="108">
        <f ca="1">IF(LEFT($A$22,5)="blank",0,VLOOKUP($B$2,'Input General'!$A$229:$H$233,COLUMN(H12),FALSE)*'Input Global'!H$34)+IF(LEFT($A$22,5)="blank",0,VLOOKUP($B$2,dist2wholesale,COLUMN(H8),FALSE)*'Input Global'!H19)</f>
        <v>84538.49896052976</v>
      </c>
    </row>
    <row r="28" spans="1:14" x14ac:dyDescent="0.3">
      <c r="A28" t="str">
        <f t="shared" si="1"/>
        <v>Green Schemes</v>
      </c>
      <c r="D28" s="103"/>
      <c r="E28" s="103"/>
      <c r="F28" s="103"/>
      <c r="G28" s="103"/>
      <c r="H28" s="103"/>
    </row>
    <row r="29" spans="1:14" x14ac:dyDescent="0.3">
      <c r="A29" s="11" t="str">
        <f t="shared" si="1"/>
        <v>Feed-in Tariffs</v>
      </c>
      <c r="C29" t="s">
        <v>55</v>
      </c>
      <c r="D29" s="108">
        <f>IF(LEFT($A$22,5)="blank",0,'Input General'!D85+SUMPRODUCT('Input General'!D86:D89,'Input General'!D116:D119)*'Input Global'!D19)</f>
        <v>0</v>
      </c>
      <c r="E29" s="108">
        <f>IF(LEFT($A$22,5)="blank",0,'Input General'!E85+SUMPRODUCT('Input General'!E86:E89,'Input General'!E116:E119)*'Input Global'!E19)</f>
        <v>1488.553030334584</v>
      </c>
      <c r="F29" s="108">
        <f>IF(LEFT($A$22,5)="blank",0,'Input General'!F85+SUMPRODUCT('Input General'!F86:F89,'Input General'!F116:F119)*'Input Global'!F19)</f>
        <v>1498.2146145536015</v>
      </c>
      <c r="G29" s="108">
        <f>IF(LEFT($A$22,5)="blank",0,'Input General'!G85+SUMPRODUCT('Input General'!G86:G89,'Input General'!G116:G119)*'Input Global'!G19)</f>
        <v>1503.9618686445797</v>
      </c>
      <c r="H29" s="108">
        <f>IF(LEFT($A$22,5)="blank",0,'Input General'!H85+SUMPRODUCT('Input General'!H86:H89,'Input General'!H116:H119)*'Input Global'!H19)</f>
        <v>1517.2041040482595</v>
      </c>
    </row>
    <row r="30" spans="1:14" x14ac:dyDescent="0.3">
      <c r="A30" s="11" t="str">
        <f t="shared" si="1"/>
        <v>Carbon costs</v>
      </c>
      <c r="C30" t="s">
        <v>55</v>
      </c>
      <c r="D30" s="108">
        <f ca="1">IF(LEFT($A$22,5)="blank",0,VLOOKUP($B$2,'Input General'!$A$262:$H$266,COLUMN('Input General'!D262),FALSE)*'Input Global'!D$19)</f>
        <v>0</v>
      </c>
      <c r="E30" s="108">
        <f ca="1">IF(LEFT($A$22,5)="blank",0,VLOOKUP($B$2,'Input General'!$A$262:$H$266,COLUMN('Input General'!E262),FALSE)*'Input Global'!E$19)</f>
        <v>0</v>
      </c>
      <c r="F30" s="108">
        <f ca="1">IF(LEFT($A$22,5)="blank",0,VLOOKUP($B$2,'Input General'!$A$262:$H$266,COLUMN('Input General'!F262),FALSE)*'Input Global'!F$19)</f>
        <v>10244.597444220091</v>
      </c>
      <c r="G30" s="108">
        <f ca="1">IF(LEFT($A$22,5)="blank",0,VLOOKUP($B$2,'Input General'!$A$262:$H$266,COLUMN('Input General'!G262),FALSE)*'Input Global'!G$19)</f>
        <v>11241.496010404206</v>
      </c>
      <c r="H30" s="108">
        <f ca="1">IF(LEFT($A$22,5)="blank",0,VLOOKUP($B$2,'Input General'!$A$262:$H$266,COLUMN('Input General'!H262),FALSE)*'Input Global'!H$19)</f>
        <v>10834.485089915102</v>
      </c>
      <c r="I30" s="10"/>
    </row>
    <row r="31" spans="1:14" x14ac:dyDescent="0.3">
      <c r="A31" s="11" t="str">
        <f t="shared" si="1"/>
        <v>Large Scale Renewable Energy Target</v>
      </c>
      <c r="C31" t="s">
        <v>55</v>
      </c>
      <c r="D31" s="108">
        <f ca="1">IF(LEFT($A$22,5)="blank",0,VLOOKUP($B$2,'Input General'!$A325:$H330,COLUMN(D16),FALSE)*'Input Global'!D19)</f>
        <v>1207.2319490745772</v>
      </c>
      <c r="E31" s="108">
        <f ca="1">IF(LEFT($A$22,5)="blank",0,VLOOKUP($B$2,'Input General'!$A325:$H330,COLUMN(E16),FALSE)*'Input Global'!E19)</f>
        <v>2070.6471001134769</v>
      </c>
      <c r="F31" s="108">
        <f ca="1">IF(LEFT($A$22,5)="blank",0,VLOOKUP($B$2,'Input General'!$A325:$H330,COLUMN(F16),FALSE)*'Input Global'!F19)</f>
        <v>3031.3917806135009</v>
      </c>
      <c r="G31" s="108">
        <f ca="1">IF(LEFT($A$22,5)="blank",0,VLOOKUP($B$2,'Input General'!$A325:$H330,COLUMN(G16),FALSE)*'Input Global'!G19)</f>
        <v>3165.2888405838162</v>
      </c>
      <c r="H31" s="108">
        <f ca="1">IF(LEFT($A$22,5)="blank",0,VLOOKUP($B$2,'Input General'!$A325:$H330,COLUMN(H16),FALSE)*'Input Global'!H19)</f>
        <v>3286.0192301240681</v>
      </c>
      <c r="I31" s="10"/>
    </row>
    <row r="32" spans="1:14" x14ac:dyDescent="0.3">
      <c r="A32" s="11" t="str">
        <f t="shared" si="1"/>
        <v>Small Scale Renewable Energy Scheme</v>
      </c>
      <c r="C32" t="s">
        <v>55</v>
      </c>
      <c r="D32" s="108">
        <f ca="1">IF(LEFT($A$22,5)="blank",0,'Input General'!D143*'Input Global'!D$19)</f>
        <v>2085.1764769245315</v>
      </c>
      <c r="E32" s="108">
        <f ca="1">IF(LEFT($A$22,5)="blank",0,'Input General'!E143*'Input Global'!E$19)</f>
        <v>2058.1022527255191</v>
      </c>
      <c r="F32" s="108">
        <f ca="1">IF(LEFT($A$22,5)="blank",0,'Input General'!F143*'Input Global'!F$19)</f>
        <v>2012.2963038669923</v>
      </c>
      <c r="G32" s="108">
        <f ca="1">IF(LEFT($A$22,5)="blank",0,'Input General'!G143*'Input Global'!G$19)</f>
        <v>863.02731456846857</v>
      </c>
      <c r="H32" s="108">
        <f ca="1">IF(LEFT($A$22,5)="blank",0,'Input General'!H143*'Input Global'!H$19)</f>
        <v>735.18370373322568</v>
      </c>
      <c r="I32" s="10"/>
    </row>
    <row r="33" spans="1:15" x14ac:dyDescent="0.3">
      <c r="A33" s="11" t="str">
        <f t="shared" si="1"/>
        <v>Energy Saver Incentive</v>
      </c>
      <c r="C33" t="s">
        <v>55</v>
      </c>
      <c r="D33" s="108">
        <f ca="1">IF(LEFT($A$22,5)="blank",0,VLOOKUP($B$2,'Input General'!$A$165:$H$169,COLUMN(D33),FALSE)*'Input Global'!D$19)</f>
        <v>1848.2570603249551</v>
      </c>
      <c r="E33" s="108">
        <f ca="1">IF(LEFT($A$22,5)="blank",0,VLOOKUP($B$2,'Input General'!$A$165:$H$169,COLUMN(E33),FALSE)*'Input Global'!E$19)</f>
        <v>1824.2590311018121</v>
      </c>
      <c r="F33" s="108">
        <f ca="1">IF(LEFT($A$22,5)="blank",0,VLOOKUP($B$2,'Input General'!$A$165:$H$169,COLUMN(F33),FALSE)*'Input Global'!F$19)</f>
        <v>1737.9227807159082</v>
      </c>
      <c r="G33" s="108">
        <f ca="1">IF(LEFT($A$22,5)="blank",0,VLOOKUP($B$2,'Input General'!$A$165:$H$169,COLUMN(G33),FALSE)*'Input Global'!G$19)</f>
        <v>1693.5057010159676</v>
      </c>
      <c r="H33" s="108">
        <f ca="1">IF(LEFT($A$22,5)="blank",0,VLOOKUP($B$2,'Input General'!$A$165:$H$169,COLUMN(H33),FALSE)*'Input Global'!H$19)</f>
        <v>1660.2185831154577</v>
      </c>
      <c r="I33" s="10"/>
    </row>
    <row r="34" spans="1:15" x14ac:dyDescent="0.3">
      <c r="A34" s="11" t="str">
        <f t="shared" si="1"/>
        <v>blank</v>
      </c>
      <c r="C34" t="s">
        <v>55</v>
      </c>
      <c r="D34" s="108">
        <f ca="1">IF(LEFT($A$22,5)="blank",0,VLOOKUP($B$2,'Input General'!$A$197:$H$201,COLUMN(D34),FALSE)*'Input Global'!D$19)</f>
        <v>0</v>
      </c>
      <c r="E34" s="108">
        <f ca="1">IF(LEFT($A$22,5)="blank",0,VLOOKUP($B$2,'Input General'!$A$197:$H$201,COLUMN(E34),FALSE)*'Input Global'!E$19)</f>
        <v>0</v>
      </c>
      <c r="F34" s="108">
        <f ca="1">IF(LEFT($A$22,5)="blank",0,VLOOKUP($B$2,'Input General'!$A$197:$H$201,COLUMN(F34),FALSE)*'Input Global'!F$19)</f>
        <v>0</v>
      </c>
      <c r="G34" s="108">
        <f ca="1">IF(LEFT($A$22,5)="blank",0,VLOOKUP($B$2,'Input General'!$A$197:$H$201,COLUMN(G34),FALSE)*'Input Global'!G$19)</f>
        <v>0</v>
      </c>
      <c r="H34" s="108">
        <f ca="1">IF(LEFT($A$22,5)="blank",0,VLOOKUP($B$2,'Input General'!$A$197:$H$201,COLUMN(H34),FALSE)*'Input Global'!H$19)</f>
        <v>0</v>
      </c>
      <c r="I34" s="10"/>
    </row>
    <row r="35" spans="1:15" x14ac:dyDescent="0.3">
      <c r="A35" s="12" t="s">
        <v>53</v>
      </c>
      <c r="B35" s="12"/>
      <c r="C35" s="12" t="s">
        <v>55</v>
      </c>
      <c r="D35" s="108">
        <f ca="1">SUM(D23:D34)</f>
        <v>40085.593530928563</v>
      </c>
      <c r="E35" s="108">
        <f t="shared" ref="E35:H35" ca="1" si="2">SUM(E23:E34)</f>
        <v>140525.87327020284</v>
      </c>
      <c r="F35" s="108">
        <f t="shared" ca="1" si="2"/>
        <v>153211.61356311297</v>
      </c>
      <c r="G35" s="108">
        <f t="shared" ca="1" si="2"/>
        <v>153072.57445774355</v>
      </c>
      <c r="H35" s="108">
        <f t="shared" ca="1" si="2"/>
        <v>159772.43810966506</v>
      </c>
    </row>
    <row r="37" spans="1:15" x14ac:dyDescent="0.3">
      <c r="A37" s="8" t="str">
        <f>Dist3</f>
        <v>SP Ausnet</v>
      </c>
    </row>
    <row r="38" spans="1:15" ht="15" x14ac:dyDescent="0.25">
      <c r="A38" s="158"/>
      <c r="B38" s="158"/>
      <c r="C38" s="158"/>
      <c r="D38" s="158"/>
      <c r="E38" s="158"/>
      <c r="F38" s="158"/>
      <c r="G38" s="158"/>
      <c r="H38" s="158"/>
      <c r="K38" s="158"/>
      <c r="L38" s="158"/>
      <c r="M38" s="158"/>
      <c r="N38" s="158"/>
      <c r="O38" s="158"/>
    </row>
    <row r="39" spans="1:15" x14ac:dyDescent="0.3">
      <c r="A39" t="str">
        <f t="shared" ref="A39:A49" si="3">A24</f>
        <v>Transmission</v>
      </c>
      <c r="C39" t="s">
        <v>55</v>
      </c>
      <c r="D39" s="108">
        <f>IF(LEFT($A$37,5)="blank",0,'Input General'!D20+(SUMPRODUCT('Input General'!D21:D24,'Input General'!D121:D124)*'Input Global'!D$20))</f>
        <v>0</v>
      </c>
      <c r="E39" s="108">
        <f>IF(LEFT($A$37,5)="blank",0,'Input General'!E20+(SUMPRODUCT('Input General'!E21:E24,'Input General'!E121:E124)*'Input Global'!E$20))</f>
        <v>5046.1048716151918</v>
      </c>
      <c r="F39" s="108">
        <f>IF(LEFT($A$37,5)="blank",0,'Input General'!F20+(SUMPRODUCT('Input General'!F21:F24,'Input General'!F121:F124)*'Input Global'!F$20))</f>
        <v>5037.6911121676212</v>
      </c>
      <c r="G39" s="108">
        <f>IF(LEFT($A$37,5)="blank",0,'Input General'!G20+(SUMPRODUCT('Input General'!G21:G24,'Input General'!G121:G124)*'Input Global'!G$20))</f>
        <v>5012.3109264832283</v>
      </c>
      <c r="H39" s="108">
        <f>IF(LEFT($A$37,5)="blank",0,'Input General'!H20+(SUMPRODUCT('Input General'!H21:H24,'Input General'!H121:H124)*'Input Global'!H$20))</f>
        <v>5017.2632984979691</v>
      </c>
    </row>
    <row r="40" spans="1:15" x14ac:dyDescent="0.3">
      <c r="A40" t="str">
        <f t="shared" si="3"/>
        <v>Distribution</v>
      </c>
      <c r="C40" t="s">
        <v>55</v>
      </c>
      <c r="D40" s="108">
        <f>IF(LEFT($A$37,5)="blank",0,'Input General'!D52+SUMPRODUCT('Input General'!D53:D56,'Input General'!D121:D124)*'Input Global'!D$20+'Input General'!D73)</f>
        <v>0</v>
      </c>
      <c r="E40" s="108">
        <f>IF(LEFT($A$37,5)="blank",0,'Input General'!E52+SUMPRODUCT('Input General'!E53:E56,'Input General'!E121:E124)*'Input Global'!E$20+'Input General'!E73)</f>
        <v>43163.908470428025</v>
      </c>
      <c r="F40" s="108">
        <f>IF(LEFT($A$37,5)="blank",0,'Input General'!F52+SUMPRODUCT('Input General'!F53:F56,'Input General'!F121:F124)*'Input Global'!F$20+'Input General'!F73)</f>
        <v>46847.272676484659</v>
      </c>
      <c r="G40" s="108">
        <f>IF(LEFT($A$37,5)="blank",0,'Input General'!G52+SUMPRODUCT('Input General'!G53:G56,'Input General'!G121:G124)*'Input Global'!G$20+'Input General'!G73)</f>
        <v>51313.444171889321</v>
      </c>
      <c r="H40" s="108">
        <f>IF(LEFT($A$37,5)="blank",0,'Input General'!H52+SUMPRODUCT('Input General'!H53:H56,'Input General'!H121:H124)*'Input Global'!H$20+'Input General'!H73)</f>
        <v>56363.478774462943</v>
      </c>
    </row>
    <row r="41" spans="1:15" ht="15" x14ac:dyDescent="0.25">
      <c r="A41" s="158"/>
      <c r="B41" s="158"/>
      <c r="C41" s="158"/>
      <c r="D41" s="158"/>
      <c r="E41" s="158"/>
      <c r="F41" s="158"/>
      <c r="G41" s="158"/>
      <c r="H41" s="158"/>
    </row>
    <row r="42" spans="1:15" x14ac:dyDescent="0.3">
      <c r="A42" t="str">
        <f t="shared" si="3"/>
        <v>Retail and Wholesale</v>
      </c>
      <c r="C42" t="s">
        <v>55</v>
      </c>
      <c r="D42" s="108">
        <f ca="1">IF(LEFT($A$37,5)="blank",0,VLOOKUP($B$2,'Input General'!$A$235:$H$239,COLUMN(D27),FALSE)*'Input Global'!D$35)+IF(LEFT($A$37,5)="blank",0,VLOOKUP($B$2,dist3wholesale,COLUMN(D38),FALSE)*'Input Global'!D20)</f>
        <v>37302.770754850208</v>
      </c>
      <c r="E42" s="108">
        <f ca="1">IF(LEFT($A$37,5)="blank",0,VLOOKUP($B$2,'Input General'!$A$235:$H$239,COLUMN(E27),FALSE)*'Input Global'!E$35)+IF(LEFT($A$37,5)="blank",0,VLOOKUP($B$2,dist3wholesale,COLUMN(E38),FALSE)*'Input Global'!E20)</f>
        <v>80557.419685131259</v>
      </c>
      <c r="F42" s="108">
        <f ca="1">IF(LEFT($A$37,5)="blank",0,VLOOKUP($B$2,'Input General'!$A$235:$H$239,COLUMN(F27),FALSE)*'Input Global'!F$35)+IF(LEFT($A$37,5)="blank",0,VLOOKUP($B$2,dist3wholesale,COLUMN(F38),FALSE)*'Input Global'!F20)</f>
        <v>76208.835987843413</v>
      </c>
      <c r="G42" s="108">
        <f ca="1">IF(LEFT($A$37,5)="blank",0,VLOOKUP($B$2,'Input General'!$A$235:$H$239,COLUMN(G27),FALSE)*'Input Global'!G$35)+IF(LEFT($A$37,5)="blank",0,VLOOKUP($B$2,dist3wholesale,COLUMN(G38),FALSE)*'Input Global'!G20)</f>
        <v>74418.174514292172</v>
      </c>
      <c r="H42" s="108">
        <f ca="1">IF(LEFT($A$37,5)="blank",0,VLOOKUP($B$2,'Input General'!$A$235:$H$239,COLUMN(H27),FALSE)*'Input Global'!H$35)+IF(LEFT($A$37,5)="blank",0,VLOOKUP($B$2,dist3wholesale,COLUMN(H38),FALSE)*'Input Global'!H20)</f>
        <v>77566.29230861344</v>
      </c>
    </row>
    <row r="43" spans="1:15" x14ac:dyDescent="0.3">
      <c r="A43" t="str">
        <f t="shared" si="3"/>
        <v>Green Schemes</v>
      </c>
      <c r="D43" s="103"/>
      <c r="E43" s="103"/>
      <c r="F43" s="103"/>
      <c r="G43" s="103"/>
      <c r="H43" s="103"/>
    </row>
    <row r="44" spans="1:15" x14ac:dyDescent="0.3">
      <c r="A44" s="11" t="str">
        <f t="shared" si="3"/>
        <v>Feed-in Tariffs</v>
      </c>
      <c r="C44" t="s">
        <v>55</v>
      </c>
      <c r="D44" s="108">
        <f>IF(LEFT($A$37,5)="blank",0,'Input General'!D91+SUMPRODUCT('Input General'!D92:D95,'Input General'!D121:D124)*'Input Global'!D$20)</f>
        <v>0</v>
      </c>
      <c r="E44" s="108">
        <f>IF(LEFT($A$37,5)="blank",0,'Input General'!E91+SUMPRODUCT('Input General'!E92:E95,'Input General'!E121:E124)*'Input Global'!E$20)</f>
        <v>1003.0915487369019</v>
      </c>
      <c r="F44" s="108">
        <f>IF(LEFT($A$37,5)="blank",0,'Input General'!F91+SUMPRODUCT('Input General'!F92:F95,'Input General'!F121:F124)*'Input Global'!F$20)</f>
        <v>1010.9887023359018</v>
      </c>
      <c r="G44" s="108">
        <f>IF(LEFT($A$37,5)="blank",0,'Input General'!G91+SUMPRODUCT('Input General'!G92:G95,'Input General'!G121:G124)*'Input Global'!G$20)</f>
        <v>1016.4919020208263</v>
      </c>
      <c r="H44" s="108">
        <f>IF(LEFT($A$37,5)="blank",0,'Input General'!H91+SUMPRODUCT('Input General'!H92:H95,'Input General'!H121:H124)*'Input Global'!H$20)</f>
        <v>1026.7165674206813</v>
      </c>
    </row>
    <row r="45" spans="1:15" x14ac:dyDescent="0.3">
      <c r="A45" s="11" t="str">
        <f t="shared" si="3"/>
        <v>Carbon costs</v>
      </c>
      <c r="C45" t="s">
        <v>55</v>
      </c>
      <c r="D45" s="108">
        <f ca="1">IF(LEFT($A$37,5)="blank",0,VLOOKUP($B$2,'Input General'!$A$268:$H$272,COLUMN('Input General'!D268),FALSE)*'Input Global'!D$20)</f>
        <v>0</v>
      </c>
      <c r="E45" s="108">
        <f ca="1">IF(LEFT($A$37,5)="blank",0,VLOOKUP($B$2,'Input General'!$A$268:$H$272,COLUMN('Input General'!E268),FALSE)*'Input Global'!E$20)</f>
        <v>0</v>
      </c>
      <c r="F45" s="108">
        <f ca="1">IF(LEFT($A$37,5)="blank",0,VLOOKUP($B$2,'Input General'!$A$268:$H$272,COLUMN('Input General'!F268),FALSE)*'Input Global'!F$20)</f>
        <v>10244.597444220091</v>
      </c>
      <c r="G45" s="108">
        <f ca="1">IF(LEFT($A$37,5)="blank",0,VLOOKUP($B$2,'Input General'!$A$268:$H$272,COLUMN('Input General'!G268),FALSE)*'Input Global'!G$20)</f>
        <v>11096.722058165135</v>
      </c>
      <c r="H45" s="108">
        <f ca="1">IF(LEFT($A$37,5)="blank",0,VLOOKUP($B$2,'Input General'!$A$268:$H$272,COLUMN('Input General'!H268),FALSE)*'Input Global'!H$20)</f>
        <v>10726.922583997213</v>
      </c>
    </row>
    <row r="46" spans="1:15" x14ac:dyDescent="0.3">
      <c r="A46" s="11" t="str">
        <f t="shared" si="3"/>
        <v>Large Scale Renewable Energy Target</v>
      </c>
      <c r="C46" t="s">
        <v>55</v>
      </c>
      <c r="D46" s="108">
        <f ca="1">IF(LEFT($A$37,5)="blank",0,VLOOKUP($B$2,'Input General'!$A331:$H336,COLUMN(D16),FALSE)*'Input Global'!D20)</f>
        <v>1207.2319490745772</v>
      </c>
      <c r="E46" s="108">
        <f ca="1">IF(LEFT($A$37,5)="blank",0,VLOOKUP($B$2,'Input General'!$A331:$H336,COLUMN(E16),FALSE)*'Input Global'!E20)</f>
        <v>2070.6471001134769</v>
      </c>
      <c r="F46" s="108">
        <f ca="1">IF(LEFT($A$37,5)="blank",0,VLOOKUP($B$2,'Input General'!$A331:$H336,COLUMN(F16),FALSE)*'Input Global'!F20)</f>
        <v>3031.3917806135009</v>
      </c>
      <c r="G46" s="108">
        <f ca="1">IF(LEFT($A$37,5)="blank",0,VLOOKUP($B$2,'Input General'!$A331:$H336,COLUMN(G16),FALSE)*'Input Global'!G20)</f>
        <v>3165.2888405838162</v>
      </c>
      <c r="H46" s="108">
        <f ca="1">IF(LEFT($A$37,5)="blank",0,VLOOKUP($B$2,'Input General'!$A331:$H336,COLUMN(H16),FALSE)*'Input Global'!H20)</f>
        <v>3286.0192301240681</v>
      </c>
    </row>
    <row r="47" spans="1:15" x14ac:dyDescent="0.3">
      <c r="A47" s="11" t="str">
        <f t="shared" si="3"/>
        <v>Small Scale Renewable Energy Scheme</v>
      </c>
      <c r="C47" t="s">
        <v>55</v>
      </c>
      <c r="D47" s="108">
        <f ca="1">IF(LEFT($A$37,5)="blank",0,'Input General'!D147*'Input Global'!D$20)</f>
        <v>2085.1764769245315</v>
      </c>
      <c r="E47" s="108">
        <f ca="1">IF(LEFT($A$37,5)="blank",0,'Input General'!E147*'Input Global'!E$20)</f>
        <v>2474.3240707424361</v>
      </c>
      <c r="F47" s="108">
        <f ca="1">IF(LEFT($A$37,5)="blank",0,'Input General'!F147*'Input Global'!F$20)</f>
        <v>1317.9953755290896</v>
      </c>
      <c r="G47" s="108">
        <f ca="1">IF(LEFT($A$37,5)="blank",0,'Input General'!G147*'Input Global'!G$20)</f>
        <v>565.25771446813451</v>
      </c>
      <c r="H47" s="108">
        <f ca="1">IF(LEFT($A$37,5)="blank",0,'Input General'!H147*'Input Global'!H$20)</f>
        <v>481.52387887543739</v>
      </c>
    </row>
    <row r="48" spans="1:15" x14ac:dyDescent="0.3">
      <c r="A48" s="11" t="str">
        <f t="shared" si="3"/>
        <v>Energy Saver Incentive</v>
      </c>
      <c r="C48" t="s">
        <v>55</v>
      </c>
      <c r="D48" s="108">
        <f ca="1">IF(LEFT($A$37,5)="blank",0,VLOOKUP($B$2,'Input General'!$A$171:$H$175,COLUMN(D33),FALSE)*'Input Global'!D$20)</f>
        <v>1848.2570603249551</v>
      </c>
      <c r="E48" s="108">
        <f ca="1">IF(LEFT($A$37,5)="blank",0,VLOOKUP($B$2,'Input General'!$A$171:$H$175,COLUMN(E33),FALSE)*'Input Global'!E$20)</f>
        <v>1824.2590311018121</v>
      </c>
      <c r="F48" s="108">
        <f ca="1">IF(LEFT($A$37,5)="blank",0,VLOOKUP($B$2,'Input General'!$A$171:$H$175,COLUMN(F33),FALSE)*'Input Global'!F$20)</f>
        <v>1737.9227807159082</v>
      </c>
      <c r="G48" s="108">
        <f ca="1">IF(LEFT($A$37,5)="blank",0,VLOOKUP($B$2,'Input General'!$A$171:$H$175,COLUMN(G33),FALSE)*'Input Global'!G$20)</f>
        <v>1693.5057010159676</v>
      </c>
      <c r="H48" s="108">
        <f ca="1">IF(LEFT($A$37,5)="blank",0,VLOOKUP($B$2,'Input General'!$A$171:$H$175,COLUMN(H33),FALSE)*'Input Global'!H$20)</f>
        <v>1660.2185831154577</v>
      </c>
    </row>
    <row r="49" spans="1:8" x14ac:dyDescent="0.3">
      <c r="A49" t="str">
        <f t="shared" si="3"/>
        <v>blank</v>
      </c>
      <c r="C49" t="s">
        <v>55</v>
      </c>
      <c r="D49" s="108">
        <f ca="1">IF(LEFT($A$37,5)="blank",0,VLOOKUP($B$2,'Input General'!$A$203:$H$207,COLUMN(D49),FALSE)*'Input Global'!D$20)</f>
        <v>0</v>
      </c>
      <c r="E49" s="108">
        <f ca="1">IF(LEFT($A$37,5)="blank",0,VLOOKUP($B$2,'Input General'!$A$203:$H$207,COLUMN(E49),FALSE)*'Input Global'!E$20)</f>
        <v>0</v>
      </c>
      <c r="F49" s="108">
        <f ca="1">IF(LEFT($A$37,5)="blank",0,VLOOKUP($B$2,'Input General'!$A$203:$H$207,COLUMN(F49),FALSE)*'Input Global'!F$20)</f>
        <v>0</v>
      </c>
      <c r="G49" s="108">
        <f ca="1">IF(LEFT($A$37,5)="blank",0,VLOOKUP($B$2,'Input General'!$A$203:$H$207,COLUMN(G49),FALSE)*'Input Global'!G$20)</f>
        <v>0</v>
      </c>
      <c r="H49" s="108">
        <f ca="1">IF(LEFT($A$37,5)="blank",0,VLOOKUP($B$2,'Input General'!$A$203:$H$207,COLUMN(H49),FALSE)*'Input Global'!H$20)</f>
        <v>0</v>
      </c>
    </row>
    <row r="50" spans="1:8" x14ac:dyDescent="0.3">
      <c r="A50" s="12" t="s">
        <v>53</v>
      </c>
      <c r="B50" s="12"/>
      <c r="C50" s="12" t="s">
        <v>55</v>
      </c>
      <c r="D50" s="108">
        <f ca="1">SUM(D38:D49)</f>
        <v>42443.436241174277</v>
      </c>
      <c r="E50" s="108">
        <f t="shared" ref="E50:H50" ca="1" si="4">SUM(E38:E49)</f>
        <v>136139.75477786909</v>
      </c>
      <c r="F50" s="108">
        <f t="shared" ca="1" si="4"/>
        <v>145436.69585991019</v>
      </c>
      <c r="G50" s="108">
        <f t="shared" ca="1" si="4"/>
        <v>148281.1958289186</v>
      </c>
      <c r="H50" s="108">
        <f t="shared" ca="1" si="4"/>
        <v>156128.43522510727</v>
      </c>
    </row>
    <row r="52" spans="1:8" x14ac:dyDescent="0.3">
      <c r="A52" s="8" t="str">
        <f>Dist4</f>
        <v>United</v>
      </c>
    </row>
    <row r="53" spans="1:8" ht="15" x14ac:dyDescent="0.25">
      <c r="A53" s="158"/>
      <c r="B53" s="158"/>
      <c r="C53" s="158"/>
      <c r="D53" s="158"/>
      <c r="E53" s="158"/>
      <c r="F53" s="158"/>
      <c r="G53" s="158"/>
      <c r="H53" s="158"/>
    </row>
    <row r="54" spans="1:8" x14ac:dyDescent="0.3">
      <c r="A54" t="str">
        <f t="shared" ref="A54:A64" si="5">A39</f>
        <v>Transmission</v>
      </c>
      <c r="C54" t="s">
        <v>55</v>
      </c>
      <c r="D54" s="108">
        <f>IF(LEFT($A$52,5)="blank",0,'Input General'!D26+(SUMPRODUCT('Input General'!D27:D30,'Input General'!D126:D129)*'Input Global'!D$21))</f>
        <v>0</v>
      </c>
      <c r="E54" s="108">
        <f>IF(LEFT($A$52,5)="blank",0,'Input General'!E26+(SUMPRODUCT('Input General'!E27:E30,'Input General'!E126:E129)*'Input Global'!E$21))</f>
        <v>7746.8799701304106</v>
      </c>
      <c r="F54" s="108">
        <f>IF(LEFT($A$52,5)="blank",0,'Input General'!F26+(SUMPRODUCT('Input General'!F27:F30,'Input General'!F126:F129)*'Input Global'!F$21))</f>
        <v>7733.9630002702461</v>
      </c>
      <c r="G54" s="108">
        <f>IF(LEFT($A$52,5)="blank",0,'Input General'!G26+(SUMPRODUCT('Input General'!G27:G30,'Input General'!G126:G129)*'Input Global'!G$21))</f>
        <v>7694.9988373923388</v>
      </c>
      <c r="H54" s="108">
        <f>IF(LEFT($A$52,5)="blank",0,'Input General'!H26+(SUMPRODUCT('Input General'!H27:H30,'Input General'!H126:H129)*'Input Global'!H$21))</f>
        <v>7702.6018168273158</v>
      </c>
    </row>
    <row r="55" spans="1:8" x14ac:dyDescent="0.3">
      <c r="A55" t="str">
        <f t="shared" si="5"/>
        <v>Distribution</v>
      </c>
      <c r="C55" t="s">
        <v>55</v>
      </c>
      <c r="D55" s="108">
        <f>IF(LEFT($A$52,5)="blank",0,'Input General'!D58+SUMPRODUCT('Input General'!D59:D62,'Input General'!D126:D129)*'Input Global'!D$21+'Input General'!D74)</f>
        <v>0</v>
      </c>
      <c r="E55" s="108">
        <f>IF(LEFT($A$52,5)="blank",0,'Input General'!E58+SUMPRODUCT('Input General'!E59:E62,'Input General'!E126:E129)*'Input Global'!E$21+'Input General'!E74)</f>
        <v>36568.778951105123</v>
      </c>
      <c r="F55" s="108">
        <f>IF(LEFT($A$52,5)="blank",0,'Input General'!F58+SUMPRODUCT('Input General'!F59:F62,'Input General'!F126:F129)*'Input Global'!F$21+'Input General'!F74)</f>
        <v>40023.874109077631</v>
      </c>
      <c r="G55" s="108">
        <f>IF(LEFT($A$52,5)="blank",0,'Input General'!G58+SUMPRODUCT('Input General'!G59:G62,'Input General'!G126:G129)*'Input Global'!G$21+'Input General'!G74)</f>
        <v>45032.909324059874</v>
      </c>
      <c r="H55" s="108">
        <f>IF(LEFT($A$52,5)="blank",0,'Input General'!H58+SUMPRODUCT('Input General'!H59:H62,'Input General'!H126:H129)*'Input Global'!H$21+'Input General'!H74)</f>
        <v>50812.851016141794</v>
      </c>
    </row>
    <row r="56" spans="1:8" ht="15" x14ac:dyDescent="0.25">
      <c r="A56" s="158"/>
      <c r="B56" s="158"/>
      <c r="C56" s="158"/>
      <c r="D56" s="158"/>
      <c r="E56" s="158"/>
      <c r="F56" s="158"/>
      <c r="G56" s="158"/>
      <c r="H56" s="158"/>
    </row>
    <row r="57" spans="1:8" x14ac:dyDescent="0.3">
      <c r="A57" t="str">
        <f t="shared" si="5"/>
        <v>Retail and Wholesale</v>
      </c>
      <c r="C57" t="s">
        <v>55</v>
      </c>
      <c r="D57" s="108">
        <f ca="1">IF(LEFT($A$52,5)="blank",0,VLOOKUP($B$2,'Input General'!$A$241:$H$245,COLUMN(D57),FALSE)*'Input Global'!D$36)+IF(LEFT($A$52,5)="blank",0,VLOOKUP($B$2,dist4wholesale,COLUMN(D53),FALSE)*'Input Global'!D21)</f>
        <v>37554.806443901856</v>
      </c>
      <c r="E57" s="108">
        <f ca="1">IF(LEFT($A$52,5)="blank",0,VLOOKUP($B$2,'Input General'!$A$241:$H$245,COLUMN(E57),FALSE)*'Input Global'!E$36)+IF(LEFT($A$52,5)="blank",0,VLOOKUP($B$2,dist4wholesale,COLUMN(E53),FALSE)*'Input Global'!E21)</f>
        <v>77956.382499819636</v>
      </c>
      <c r="F57" s="108">
        <f ca="1">IF(LEFT($A$52,5)="blank",0,VLOOKUP($B$2,'Input General'!$A$241:$H$245,COLUMN(F57),FALSE)*'Input Global'!F$36)+IF(LEFT($A$52,5)="blank",0,VLOOKUP($B$2,dist4wholesale,COLUMN(F53),FALSE)*'Input Global'!F21)</f>
        <v>75576.2900799114</v>
      </c>
      <c r="G57" s="108">
        <f ca="1">IF(LEFT($A$52,5)="blank",0,VLOOKUP($B$2,'Input General'!$A$241:$H$245,COLUMN(G57),FALSE)*'Input Global'!G$36)+IF(LEFT($A$52,5)="blank",0,VLOOKUP($B$2,dist4wholesale,COLUMN(G53),FALSE)*'Input Global'!G21)</f>
        <v>72298.327864466206</v>
      </c>
      <c r="H57" s="108">
        <f ca="1">IF(LEFT($A$52,5)="blank",0,VLOOKUP($B$2,'Input General'!$A$241:$H$245,COLUMN(H57),FALSE)*'Input Global'!H$36)+IF(LEFT($A$52,5)="blank",0,VLOOKUP($B$2,dist4wholesale,COLUMN(H53),FALSE)*'Input Global'!H21)</f>
        <v>75539.01647874566</v>
      </c>
    </row>
    <row r="58" spans="1:8" x14ac:dyDescent="0.3">
      <c r="A58" t="str">
        <f t="shared" si="5"/>
        <v>Green Schemes</v>
      </c>
      <c r="D58" s="103"/>
      <c r="E58" s="103"/>
      <c r="F58" s="103"/>
      <c r="G58" s="103"/>
      <c r="H58" s="103"/>
    </row>
    <row r="59" spans="1:8" x14ac:dyDescent="0.3">
      <c r="A59" s="11" t="str">
        <f t="shared" si="5"/>
        <v>Feed-in Tariffs</v>
      </c>
      <c r="C59" t="s">
        <v>55</v>
      </c>
      <c r="D59" s="108">
        <f>IF(LEFT($A$52,5)="blank",0,'Input General'!D97+SUMPRODUCT('Input General'!D98:D101,'Input General'!D126:D129)*'Input Global'!D$21)</f>
        <v>0</v>
      </c>
      <c r="E59" s="108">
        <f>IF(LEFT($A$52,5)="blank",0,'Input General'!E97+SUMPRODUCT('Input General'!E98:E101,'Input General'!E126:E129)*'Input Global'!E$21)</f>
        <v>721.78750000000002</v>
      </c>
      <c r="F59" s="108">
        <f>IF(LEFT($A$52,5)="blank",0,'Input General'!F97+SUMPRODUCT('Input General'!F98:F101,'Input General'!F126:F129)*'Input Global'!F$21)</f>
        <v>739.83218749999992</v>
      </c>
      <c r="G59" s="108">
        <f>IF(LEFT($A$52,5)="blank",0,'Input General'!G97+SUMPRODUCT('Input General'!G98:G101,'Input General'!G126:G129)*'Input Global'!G$21)</f>
        <v>758.32799218749983</v>
      </c>
      <c r="H59" s="108">
        <f>IF(LEFT($A$52,5)="blank",0,'Input General'!H97+SUMPRODUCT('Input General'!H98:H101,'Input General'!H126:H129)*'Input Global'!H$21)</f>
        <v>777.28619199218724</v>
      </c>
    </row>
    <row r="60" spans="1:8" x14ac:dyDescent="0.3">
      <c r="A60" s="11" t="str">
        <f t="shared" si="5"/>
        <v>Carbon costs</v>
      </c>
      <c r="C60" t="s">
        <v>55</v>
      </c>
      <c r="D60" s="108">
        <f ca="1">IF(LEFT($A$52,5)="blank",0,VLOOKUP($B$2,'Input General'!$A$274:$H$278,COLUMN(D60),FALSE)*'Input Global'!D$21)</f>
        <v>0</v>
      </c>
      <c r="E60" s="108">
        <f ca="1">IF(LEFT($A$52,5)="blank",0,VLOOKUP($B$2,'Input General'!$A$274:$H$278,COLUMN(E60),FALSE)*'Input Global'!E$21)</f>
        <v>0</v>
      </c>
      <c r="F60" s="108">
        <f ca="1">IF(LEFT($A$52,5)="blank",0,VLOOKUP($B$2,'Input General'!$A$274:$H$278,COLUMN(F60),FALSE)*'Input Global'!F$21)</f>
        <v>10244.597444220091</v>
      </c>
      <c r="G60" s="108">
        <f ca="1">IF(LEFT($A$52,5)="blank",0,VLOOKUP($B$2,'Input General'!$A$274:$H$278,COLUMN(G60),FALSE)*'Input Global'!G$21)</f>
        <v>11185.121800548481</v>
      </c>
      <c r="H60" s="108">
        <f ca="1">IF(LEFT($A$52,5)="blank",0,VLOOKUP($B$2,'Input General'!$A$274:$H$278,COLUMN(H60),FALSE)*'Input Global'!H$21)</f>
        <v>10717.707360497274</v>
      </c>
    </row>
    <row r="61" spans="1:8" x14ac:dyDescent="0.3">
      <c r="A61" s="11" t="str">
        <f t="shared" si="5"/>
        <v>Large Scale Renewable Energy Target</v>
      </c>
      <c r="C61" t="s">
        <v>55</v>
      </c>
      <c r="D61" s="108">
        <f ca="1">IF(LEFT($A$52,5)="blank",0,VLOOKUP($B$2,'Input General'!$A338:$H342,COLUMN(D61),FALSE)*'Input Global'!D21)</f>
        <v>1207.2319490745772</v>
      </c>
      <c r="E61" s="108">
        <f ca="1">IF(LEFT($A$52,5)="blank",0,VLOOKUP($B$2,'Input General'!$A338:$H342,COLUMN(E61),FALSE)*'Input Global'!E21)</f>
        <v>2070.6471001134769</v>
      </c>
      <c r="F61" s="108">
        <f ca="1">IF(LEFT($A$52,5)="blank",0,VLOOKUP($B$2,'Input General'!$A338:$H342,COLUMN(F61),FALSE)*'Input Global'!F21)</f>
        <v>3031.3917806135009</v>
      </c>
      <c r="G61" s="108">
        <f ca="1">IF(LEFT($A$52,5)="blank",0,VLOOKUP($B$2,'Input General'!$A338:$H342,COLUMN(G61),FALSE)*'Input Global'!G21)</f>
        <v>3165.2888405838162</v>
      </c>
      <c r="H61" s="108">
        <f ca="1">IF(LEFT($A$52,5)="blank",0,VLOOKUP($B$2,'Input General'!$A338:$H342,COLUMN(H61),FALSE)*'Input Global'!H21)</f>
        <v>3286.0192301240681</v>
      </c>
    </row>
    <row r="62" spans="1:8" x14ac:dyDescent="0.3">
      <c r="A62" s="11" t="str">
        <f t="shared" si="5"/>
        <v>Small Scale Renewable Energy Scheme</v>
      </c>
      <c r="C62" t="s">
        <v>55</v>
      </c>
      <c r="D62" s="108">
        <f ca="1">IF(LEFT($A$52,5)="blank",0,'Input General'!D151*'Input Global'!D$21)</f>
        <v>2085.1764769245315</v>
      </c>
      <c r="E62" s="108">
        <f ca="1">IF(LEFT($A$52,5)="blank",0,'Input General'!E151*'Input Global'!E$21)</f>
        <v>2474.3240707424361</v>
      </c>
      <c r="F62" s="108">
        <f ca="1">IF(LEFT($A$52,5)="blank",0,'Input General'!F151*'Input Global'!F$21)</f>
        <v>1317.9953755290896</v>
      </c>
      <c r="G62" s="108">
        <f ca="1">IF(LEFT($A$52,5)="blank",0,'Input General'!G151*'Input Global'!G$21)</f>
        <v>565.25771446813451</v>
      </c>
      <c r="H62" s="108">
        <f ca="1">IF(LEFT($A$52,5)="blank",0,'Input General'!H151*'Input Global'!H$21)</f>
        <v>481.52387887543739</v>
      </c>
    </row>
    <row r="63" spans="1:8" x14ac:dyDescent="0.3">
      <c r="A63" s="11" t="str">
        <f t="shared" si="5"/>
        <v>Energy Saver Incentive</v>
      </c>
      <c r="C63" t="s">
        <v>55</v>
      </c>
      <c r="D63" s="108">
        <f ca="1">IF(LEFT($A$52,5)="blank",0,VLOOKUP($B$2,'Input General'!$A$177:$H$181,COLUMN(D48),FALSE)*'Input Global'!D$21)</f>
        <v>1848.2570603249551</v>
      </c>
      <c r="E63" s="108">
        <f ca="1">IF(LEFT($A$52,5)="blank",0,VLOOKUP($B$2,'Input General'!$A$177:$H$181,COLUMN(E48),FALSE)*'Input Global'!E$21)</f>
        <v>1824.2590311018121</v>
      </c>
      <c r="F63" s="108">
        <f ca="1">IF(LEFT($A$52,5)="blank",0,VLOOKUP($B$2,'Input General'!$A$177:$H$181,COLUMN(F48),FALSE)*'Input Global'!F$21)</f>
        <v>1737.9227807159082</v>
      </c>
      <c r="G63" s="108">
        <f ca="1">IF(LEFT($A$52,5)="blank",0,VLOOKUP($B$2,'Input General'!$A$177:$H$181,COLUMN(G48),FALSE)*'Input Global'!G$21)</f>
        <v>1693.5057010159676</v>
      </c>
      <c r="H63" s="108">
        <f ca="1">IF(LEFT($A$52,5)="blank",0,VLOOKUP($B$2,'Input General'!$A$177:$H$181,COLUMN(H48),FALSE)*'Input Global'!H$21)</f>
        <v>1660.2185831154577</v>
      </c>
    </row>
    <row r="64" spans="1:8" x14ac:dyDescent="0.3">
      <c r="A64" s="11" t="str">
        <f t="shared" si="5"/>
        <v>blank</v>
      </c>
      <c r="C64" t="s">
        <v>55</v>
      </c>
      <c r="D64" s="108">
        <f ca="1">IF(LEFT($A$52,5)="blank",0,VLOOKUP($B$2,'Input General'!$A$209:$H$213,COLUMN(D64),FALSE)*'Input Global'!D$21)</f>
        <v>0</v>
      </c>
      <c r="E64" s="108">
        <f ca="1">IF(LEFT($A$52,5)="blank",0,VLOOKUP($B$2,'Input General'!$A$209:$H$213,COLUMN(E64),FALSE)*'Input Global'!E$21)</f>
        <v>0</v>
      </c>
      <c r="F64" s="108">
        <f ca="1">IF(LEFT($A$52,5)="blank",0,VLOOKUP($B$2,'Input General'!$A$209:$H$213,COLUMN(F64),FALSE)*'Input Global'!F$21)</f>
        <v>0</v>
      </c>
      <c r="G64" s="108">
        <f ca="1">IF(LEFT($A$52,5)="blank",0,VLOOKUP($B$2,'Input General'!$A$209:$H$213,COLUMN(G64),FALSE)*'Input Global'!G$21)</f>
        <v>0</v>
      </c>
      <c r="H64" s="108">
        <f ca="1">IF(LEFT($A$52,5)="blank",0,VLOOKUP($B$2,'Input General'!$A$209:$H$213,COLUMN(H64),FALSE)*'Input Global'!H$21)</f>
        <v>0</v>
      </c>
    </row>
    <row r="65" spans="1:14" x14ac:dyDescent="0.3">
      <c r="A65" s="12" t="s">
        <v>53</v>
      </c>
      <c r="B65" s="12"/>
      <c r="C65" s="12" t="s">
        <v>55</v>
      </c>
      <c r="D65" s="108">
        <f ca="1">SUM(D53:D64)</f>
        <v>42695.471930225925</v>
      </c>
      <c r="E65" s="108">
        <f t="shared" ref="E65:H65" ca="1" si="6">SUM(E53:E64)</f>
        <v>129363.05912301291</v>
      </c>
      <c r="F65" s="108">
        <f t="shared" ca="1" si="6"/>
        <v>140405.86675783788</v>
      </c>
      <c r="G65" s="108">
        <f t="shared" ca="1" si="6"/>
        <v>142393.73807472232</v>
      </c>
      <c r="H65" s="108">
        <f t="shared" ca="1" si="6"/>
        <v>150977.22455631921</v>
      </c>
    </row>
    <row r="66" spans="1:14" x14ac:dyDescent="0.3">
      <c r="D66" s="102"/>
      <c r="E66" s="102"/>
      <c r="F66" s="102"/>
      <c r="G66" s="102"/>
      <c r="H66" s="102"/>
    </row>
    <row r="67" spans="1:14" x14ac:dyDescent="0.3">
      <c r="A67" s="8" t="str">
        <f>Dist5</f>
        <v>Jemena</v>
      </c>
    </row>
    <row r="68" spans="1:14" ht="15" x14ac:dyDescent="0.25">
      <c r="A68" s="158"/>
      <c r="B68" s="158"/>
      <c r="C68" s="158"/>
      <c r="D68" s="158"/>
      <c r="E68" s="158"/>
      <c r="F68" s="158"/>
      <c r="G68" s="158"/>
      <c r="H68" s="158"/>
      <c r="J68" s="158"/>
      <c r="K68" s="158"/>
      <c r="L68" s="158"/>
      <c r="M68" s="158"/>
      <c r="N68" s="158"/>
    </row>
    <row r="69" spans="1:14" x14ac:dyDescent="0.3">
      <c r="A69" t="str">
        <f t="shared" ref="A69:A79" si="7">A54</f>
        <v>Transmission</v>
      </c>
      <c r="C69" t="s">
        <v>55</v>
      </c>
      <c r="D69" s="108">
        <f>IF(LEFT($A$67,5)="blank",0,'Input General'!D32+(SUMPRODUCT('Input General'!D33:D36,'Input General'!D131:D134)*'Input Global'!D$22))</f>
        <v>0</v>
      </c>
      <c r="E69" s="108">
        <f>IF(LEFT($A$67,5)="blank",0,'Input General'!E32+(SUMPRODUCT('Input General'!E33:E36,'Input General'!E131:E134)*'Input Global'!E$22))</f>
        <v>4696.4309826740309</v>
      </c>
      <c r="F69" s="108">
        <f>IF(LEFT($A$67,5)="blank",0,'Input General'!F32+(SUMPRODUCT('Input General'!F33:F36,'Input General'!F131:F134)*'Input Global'!F$22))</f>
        <v>4696.0654467268905</v>
      </c>
      <c r="G69" s="108">
        <f>IF(LEFT($A$67,5)="blank",0,'Input General'!G32+(SUMPRODUCT('Input General'!G33:G36,'Input General'!G131:G134)*'Input Global'!G$22))</f>
        <v>4681.1593617962271</v>
      </c>
      <c r="H69" s="108">
        <f>IF(LEFT($A$67,5)="blank",0,'Input General'!H32+(SUMPRODUCT('Input General'!H33:H36,'Input General'!H131:H134)*'Input Global'!H$22))</f>
        <v>4692.6580076502969</v>
      </c>
    </row>
    <row r="70" spans="1:14" x14ac:dyDescent="0.3">
      <c r="A70" t="str">
        <f t="shared" si="7"/>
        <v>Distribution</v>
      </c>
      <c r="C70" t="s">
        <v>55</v>
      </c>
      <c r="D70" s="108">
        <f>IF(LEFT($A$67,5)="blank",0,'Input General'!D64+SUMPRODUCT('Input General'!D65:D68,'Input General'!D131:D134)*'Input Global'!D$22+'Input General'!D75)</f>
        <v>0</v>
      </c>
      <c r="E70" s="108">
        <f>IF(LEFT($A$67,5)="blank",0,'Input General'!E64+SUMPRODUCT('Input General'!E65:E68,'Input General'!E131:E134)*'Input Global'!E$22+'Input General'!E75)</f>
        <v>46034.113542638501</v>
      </c>
      <c r="F70" s="108">
        <f>IF(LEFT($A$67,5)="blank",0,'Input General'!F64+SUMPRODUCT('Input General'!F65:F68,'Input General'!F131:F134)*'Input Global'!F$22+'Input General'!F75)</f>
        <v>49511.647190717289</v>
      </c>
      <c r="G70" s="108">
        <f>IF(LEFT($A$67,5)="blank",0,'Input General'!G64+SUMPRODUCT('Input General'!G65:G68,'Input General'!G131:G134)*'Input Global'!G$22+'Input General'!G75)</f>
        <v>52196.285245207393</v>
      </c>
      <c r="H70" s="108">
        <f>IF(LEFT($A$67,5)="blank",0,'Input General'!H64+SUMPRODUCT('Input General'!H65:H68,'Input General'!H131:H134)*'Input Global'!H$22+'Input General'!H75)</f>
        <v>53948.981416067443</v>
      </c>
    </row>
    <row r="71" spans="1:14" ht="15" x14ac:dyDescent="0.25">
      <c r="A71" s="158"/>
      <c r="B71" s="158"/>
      <c r="C71" s="158"/>
      <c r="D71" s="158"/>
      <c r="E71" s="158"/>
      <c r="F71" s="158"/>
      <c r="G71" s="158"/>
      <c r="H71" s="158"/>
    </row>
    <row r="72" spans="1:14" x14ac:dyDescent="0.3">
      <c r="A72" t="str">
        <f t="shared" si="7"/>
        <v>Retail and Wholesale</v>
      </c>
      <c r="C72" t="s">
        <v>55</v>
      </c>
      <c r="D72" s="108">
        <f ca="1">IF(LEFT($A$67,5)="blank",0,VLOOKUP($B$2,'Input General'!$A$247:$H$251,COLUMN(D72),FALSE)*'Input Global'!D$37)+IF(LEFT($A$67,5)="blank",0,VLOOKUP($B$2,dist5wholesale,COLUMN(D68),FALSE)*'Input Global'!D22)</f>
        <v>37004.370213838418</v>
      </c>
      <c r="E72" s="108">
        <f ca="1">IF(LEFT($A$67,5)="blank",0,VLOOKUP($B$2,'Input General'!$A$247:$H$251,COLUMN(E72),FALSE)*'Input Global'!E$37)+IF(LEFT($A$67,5)="blank",0,VLOOKUP($B$2,dist5wholesale,COLUMN(E68),FALSE)*'Input Global'!E22)</f>
        <v>78950.951703408049</v>
      </c>
      <c r="F72" s="108">
        <f ca="1">IF(LEFT($A$67,5)="blank",0,VLOOKUP($B$2,'Input General'!$A$247:$H$251,COLUMN(F72),FALSE)*'Input Global'!F$37)+IF(LEFT($A$67,5)="blank",0,VLOOKUP($B$2,dist5wholesale,COLUMN(F68),FALSE)*'Input Global'!F22)</f>
        <v>78783.505659763265</v>
      </c>
      <c r="G72" s="108">
        <f ca="1">IF(LEFT($A$67,5)="blank",0,VLOOKUP($B$2,'Input General'!$A$247:$H$251,COLUMN(G72),FALSE)*'Input Global'!G$37)+IF(LEFT($A$67,5)="blank",0,VLOOKUP($B$2,dist5wholesale,COLUMN(G68),FALSE)*'Input Global'!G22)</f>
        <v>71952.473986136494</v>
      </c>
      <c r="H72" s="108">
        <f ca="1">IF(LEFT($A$67,5)="blank",0,VLOOKUP($B$2,'Input General'!$A$247:$H$251,COLUMN(H72),FALSE)*'Input Global'!H$37)+IF(LEFT($A$67,5)="blank",0,VLOOKUP($B$2,dist5wholesale,COLUMN(H68),FALSE)*'Input Global'!H22)</f>
        <v>76284.796861722192</v>
      </c>
    </row>
    <row r="73" spans="1:14" x14ac:dyDescent="0.3">
      <c r="A73" t="str">
        <f t="shared" si="7"/>
        <v>Green Schemes</v>
      </c>
      <c r="D73" s="103"/>
      <c r="E73" s="103"/>
      <c r="F73" s="103"/>
      <c r="G73" s="103"/>
      <c r="H73" s="103"/>
    </row>
    <row r="74" spans="1:14" x14ac:dyDescent="0.3">
      <c r="A74" s="11" t="str">
        <f t="shared" si="7"/>
        <v>Feed-in Tariffs</v>
      </c>
      <c r="C74" t="s">
        <v>55</v>
      </c>
      <c r="D74" s="108">
        <f>IF(LEFT($A$67,5)="blank",0,'Input General'!D103+SUMPRODUCT('Input General'!D104:D107,'Input General'!D131:D134)*'Input Global'!D$22)</f>
        <v>0</v>
      </c>
      <c r="E74" s="108">
        <f>IF(LEFT($A$67,5)="blank",0,'Input General'!E103+SUMPRODUCT('Input General'!E104:E107,'Input General'!E131:E134)*'Input Global'!E$22)</f>
        <v>229.20177570253537</v>
      </c>
      <c r="F74" s="108">
        <f>IF(LEFT($A$67,5)="blank",0,'Input General'!F103+SUMPRODUCT('Input General'!F104:F107,'Input General'!F131:F134)*'Input Global'!F$22)</f>
        <v>229.70308331962232</v>
      </c>
      <c r="G74" s="108">
        <f>IF(LEFT($A$67,5)="blank",0,'Input General'!G103+SUMPRODUCT('Input General'!G104:G107,'Input General'!G131:G134)*'Input Global'!G$22)</f>
        <v>229.42824191938192</v>
      </c>
      <c r="H74" s="108">
        <f>IF(LEFT($A$67,5)="blank",0,'Input General'!H103+SUMPRODUCT('Input General'!H104:H107,'Input General'!H131:H134)*'Input Global'!H$22)</f>
        <v>230.54162513890296</v>
      </c>
    </row>
    <row r="75" spans="1:14" x14ac:dyDescent="0.3">
      <c r="A75" s="11" t="str">
        <f t="shared" si="7"/>
        <v>Carbon costs</v>
      </c>
      <c r="C75" t="s">
        <v>55</v>
      </c>
      <c r="D75" s="108">
        <f ca="1">IF(LEFT($A$67,5)="blank",0,VLOOKUP($B$2,'Input General'!$A$280:$H$284,COLUMN(D75),FALSE)*'Input Global'!D$22)</f>
        <v>0</v>
      </c>
      <c r="E75" s="108">
        <f ca="1">IF(LEFT($A$67,5)="blank",0,VLOOKUP($B$2,'Input General'!$A$280:$H$284,COLUMN(E75),FALSE)*'Input Global'!E$22)</f>
        <v>0</v>
      </c>
      <c r="F75" s="108">
        <f ca="1">IF(LEFT($A$67,5)="blank",0,VLOOKUP($B$2,'Input General'!$A$280:$H$284,COLUMN(F75),FALSE)*'Input Global'!F$22)</f>
        <v>10244.597444220091</v>
      </c>
      <c r="G75" s="108">
        <f ca="1">IF(LEFT($A$67,5)="blank",0,VLOOKUP($B$2,'Input General'!$A$280:$H$284,COLUMN(G75),FALSE)*'Input Global'!G$22)</f>
        <v>12222.483859746704</v>
      </c>
      <c r="H75" s="108">
        <f ca="1">IF(LEFT($A$67,5)="blank",0,VLOOKUP($B$2,'Input General'!$A$280:$H$284,COLUMN(H75),FALSE)*'Input Global'!H$22)</f>
        <v>12704.20690886271</v>
      </c>
    </row>
    <row r="76" spans="1:14" x14ac:dyDescent="0.3">
      <c r="A76" s="11" t="str">
        <f t="shared" si="7"/>
        <v>Large Scale Renewable Energy Target</v>
      </c>
      <c r="C76" t="s">
        <v>55</v>
      </c>
      <c r="D76" s="108">
        <f ca="1">IF(LEFT($A$67,5)="blank",0,VLOOKUP($B$2,'Input General'!$A344:$H348,COLUMN(D76),FALSE)*'Input Global'!D22)</f>
        <v>1207.2319490745772</v>
      </c>
      <c r="E76" s="108">
        <f ca="1">IF(LEFT($A$67,5)="blank",0,VLOOKUP($B$2,'Input General'!$A344:$H348,COLUMN(E76),FALSE)*'Input Global'!E22)</f>
        <v>2070.6471001134769</v>
      </c>
      <c r="F76" s="108">
        <f ca="1">IF(LEFT($A$67,5)="blank",0,VLOOKUP($B$2,'Input General'!$A344:$H348,COLUMN(F76),FALSE)*'Input Global'!F22)</f>
        <v>3031.3917806135009</v>
      </c>
      <c r="G76" s="108">
        <f ca="1">IF(LEFT($A$67,5)="blank",0,VLOOKUP($B$2,'Input General'!$A344:$H348,COLUMN(G76),FALSE)*'Input Global'!G22)</f>
        <v>3165.2888405838162</v>
      </c>
      <c r="H76" s="108">
        <f ca="1">IF(LEFT($A$67,5)="blank",0,VLOOKUP($B$2,'Input General'!$A344:$H348,COLUMN(H76),FALSE)*'Input Global'!H22)</f>
        <v>3286.0192301240681</v>
      </c>
    </row>
    <row r="77" spans="1:14" x14ac:dyDescent="0.3">
      <c r="A77" s="11" t="str">
        <f t="shared" si="7"/>
        <v>Small Scale Renewable Energy Scheme</v>
      </c>
      <c r="C77" t="s">
        <v>55</v>
      </c>
      <c r="D77" s="108">
        <f ca="1">IF(LEFT($A$67,5)="blank",0,'Input General'!D155*'Input Global'!D$22)</f>
        <v>2085.1764769245315</v>
      </c>
      <c r="E77" s="108">
        <f ca="1">IF(LEFT($A$67,5)="blank",0,'Input General'!E155*'Input Global'!E$22)</f>
        <v>2474.3240707424361</v>
      </c>
      <c r="F77" s="108">
        <f ca="1">IF(LEFT($A$67,5)="blank",0,'Input General'!F155*'Input Global'!F$22)</f>
        <v>1317.9953755290896</v>
      </c>
      <c r="G77" s="108">
        <f ca="1">IF(LEFT($A$67,5)="blank",0,'Input General'!G155*'Input Global'!G$22)</f>
        <v>565.25771446813451</v>
      </c>
      <c r="H77" s="108">
        <f ca="1">IF(LEFT($A$67,5)="blank",0,'Input General'!H155*'Input Global'!H$22)</f>
        <v>481.52387887543739</v>
      </c>
    </row>
    <row r="78" spans="1:14" x14ac:dyDescent="0.3">
      <c r="A78" s="11" t="str">
        <f t="shared" si="7"/>
        <v>Energy Saver Incentive</v>
      </c>
      <c r="C78" t="s">
        <v>55</v>
      </c>
      <c r="D78" s="108">
        <f ca="1">IF(LEFT($A$67,5)="blank",0,VLOOKUP($B$2,'Input General'!$A$183:$H$187,COLUMN(D78),FALSE)*'Input Global'!D$22)</f>
        <v>1848.2570603249551</v>
      </c>
      <c r="E78" s="108">
        <f ca="1">IF(LEFT($A$67,5)="blank",0,VLOOKUP($B$2,'Input General'!$A$183:$H$187,COLUMN(E78),FALSE)*'Input Global'!E$22)</f>
        <v>1824.2590311018121</v>
      </c>
      <c r="F78" s="108">
        <f ca="1">IF(LEFT($A$67,5)="blank",0,VLOOKUP($B$2,'Input General'!$A$183:$H$187,COLUMN(F78),FALSE)*'Input Global'!F$22)</f>
        <v>1737.9227807159082</v>
      </c>
      <c r="G78" s="108">
        <f ca="1">IF(LEFT($A$67,5)="blank",0,VLOOKUP($B$2,'Input General'!$A$183:$H$187,COLUMN(G78),FALSE)*'Input Global'!G$22)</f>
        <v>1693.5057010159676</v>
      </c>
      <c r="H78" s="108">
        <f ca="1">IF(LEFT($A$67,5)="blank",0,VLOOKUP($B$2,'Input General'!$A$183:$H$187,COLUMN(H78),FALSE)*'Input Global'!H$22)</f>
        <v>1660.2185831154577</v>
      </c>
    </row>
    <row r="79" spans="1:14" x14ac:dyDescent="0.3">
      <c r="A79" s="11" t="str">
        <f t="shared" si="7"/>
        <v>blank</v>
      </c>
      <c r="C79" t="s">
        <v>55</v>
      </c>
      <c r="D79" s="108">
        <f ca="1">IF(LEFT($A$67,5)="blank",0,VLOOKUP($B$2,'Input General'!$A$215:$H$219,COLUMN(D79),FALSE)*'Input Global'!D$22)</f>
        <v>0</v>
      </c>
      <c r="E79" s="108">
        <f ca="1">IF(LEFT($A$67,5)="blank",0,VLOOKUP($B$2,'Input General'!$A$215:$H$219,COLUMN(E79),FALSE)*'Input Global'!E$22)</f>
        <v>0</v>
      </c>
      <c r="F79" s="108">
        <f ca="1">IF(LEFT($A$67,5)="blank",0,VLOOKUP($B$2,'Input General'!$A$215:$H$219,COLUMN(F79),FALSE)*'Input Global'!F$22)</f>
        <v>0</v>
      </c>
      <c r="G79" s="108">
        <f ca="1">IF(LEFT($A$67,5)="blank",0,VLOOKUP($B$2,'Input General'!$A$215:$H$219,COLUMN(G79),FALSE)*'Input Global'!G$22)</f>
        <v>0</v>
      </c>
      <c r="H79" s="108">
        <f ca="1">IF(LEFT($A$67,5)="blank",0,VLOOKUP($B$2,'Input General'!$A$215:$H$219,COLUMN(H79),FALSE)*'Input Global'!H$22)</f>
        <v>0</v>
      </c>
    </row>
    <row r="80" spans="1:14" x14ac:dyDescent="0.3">
      <c r="A80" s="12" t="s">
        <v>53</v>
      </c>
      <c r="B80" s="12"/>
      <c r="C80" s="12" t="s">
        <v>55</v>
      </c>
      <c r="D80" s="108">
        <f ca="1">SUM(D68:D79)</f>
        <v>42145.035700162487</v>
      </c>
      <c r="E80" s="108">
        <f t="shared" ref="E80:H80" ca="1" si="8">SUM(E68:E79)</f>
        <v>136279.92820638084</v>
      </c>
      <c r="F80" s="108">
        <f t="shared" ca="1" si="8"/>
        <v>149552.82876160566</v>
      </c>
      <c r="G80" s="108">
        <f t="shared" ca="1" si="8"/>
        <v>146705.88295087413</v>
      </c>
      <c r="H80" s="108">
        <f t="shared" ca="1" si="8"/>
        <v>153288.94651155654</v>
      </c>
    </row>
    <row r="81" spans="1:8" x14ac:dyDescent="0.3">
      <c r="D81" s="103"/>
      <c r="E81" s="103"/>
      <c r="F81" s="103"/>
      <c r="G81" s="103"/>
      <c r="H81" s="103"/>
    </row>
    <row r="82" spans="1:8" ht="18.75" x14ac:dyDescent="0.3">
      <c r="A82" s="1" t="s">
        <v>54</v>
      </c>
      <c r="B82" s="1" t="s">
        <v>41</v>
      </c>
      <c r="D82" s="103"/>
      <c r="E82" s="103"/>
      <c r="F82" s="103"/>
      <c r="G82" s="103"/>
      <c r="H82" s="103"/>
    </row>
    <row r="84" spans="1:8" x14ac:dyDescent="0.3">
      <c r="A84" s="8" t="str">
        <f>Dist1</f>
        <v>Citipower</v>
      </c>
    </row>
    <row r="85" spans="1:8" ht="15" x14ac:dyDescent="0.25">
      <c r="A85" s="158"/>
      <c r="B85" s="158"/>
      <c r="C85" s="158"/>
      <c r="D85" s="158"/>
      <c r="E85" s="158"/>
      <c r="F85" s="158"/>
      <c r="G85" s="158"/>
      <c r="H85" s="158"/>
    </row>
    <row r="86" spans="1:8" x14ac:dyDescent="0.3">
      <c r="A86" t="str">
        <f t="shared" ref="A86:A96" si="9">A69</f>
        <v>Transmission</v>
      </c>
      <c r="C86" t="s">
        <v>11</v>
      </c>
      <c r="D86" s="108">
        <f>IF(LEFT($A$84,5)="blank",0,D9/'Input Global'!D$18)</f>
        <v>0</v>
      </c>
      <c r="E86" s="108">
        <f>IF(LEFT($A$84,5)="blank",0,E9/'Input Global'!E$18)</f>
        <v>1.0036378510908099</v>
      </c>
      <c r="F86" s="108">
        <f>IF(LEFT($A$84,5)="blank",0,F9/'Input Global'!F$18)</f>
        <v>1.0270565898303081</v>
      </c>
      <c r="G86" s="108">
        <f>IF(LEFT($A$84,5)="blank",0,G9/'Input Global'!G$18)</f>
        <v>1.051432803745763</v>
      </c>
      <c r="H86" s="108">
        <f>IF(LEFT($A$84,5)="blank",0,H9/'Input Global'!H$18)</f>
        <v>1.0757753652500264</v>
      </c>
    </row>
    <row r="87" spans="1:8" x14ac:dyDescent="0.3">
      <c r="A87" t="str">
        <f t="shared" si="9"/>
        <v>Distribution</v>
      </c>
      <c r="C87" t="s">
        <v>11</v>
      </c>
      <c r="D87" s="108">
        <f>IF(LEFT($A$84,5)="blank",0,D10/'Input Global'!D$18)</f>
        <v>0</v>
      </c>
      <c r="E87" s="108">
        <f>IF(LEFT($A$84,5)="blank",0,E10/'Input Global'!E$18)</f>
        <v>6.8538447253772814</v>
      </c>
      <c r="F87" s="108">
        <f>IF(LEFT($A$84,5)="blank",0,F10/'Input Global'!F$18)</f>
        <v>7.6877150734816615</v>
      </c>
      <c r="G87" s="108">
        <f>IF(LEFT($A$84,5)="blank",0,G10/'Input Global'!G$18)</f>
        <v>8.7608109698470322</v>
      </c>
      <c r="H87" s="108">
        <f>IF(LEFT($A$84,5)="blank",0,H10/'Input Global'!H$18)</f>
        <v>9.887034526115178</v>
      </c>
    </row>
    <row r="88" spans="1:8" ht="15" x14ac:dyDescent="0.25">
      <c r="A88" s="158"/>
      <c r="B88" s="158"/>
      <c r="C88" s="158"/>
      <c r="D88" s="158"/>
      <c r="E88" s="158"/>
      <c r="F88" s="158"/>
      <c r="G88" s="158"/>
      <c r="H88" s="158"/>
    </row>
    <row r="89" spans="1:8" x14ac:dyDescent="0.3">
      <c r="A89" t="str">
        <f t="shared" si="9"/>
        <v>Retail and Wholesale</v>
      </c>
      <c r="C89" t="s">
        <v>11</v>
      </c>
      <c r="D89" s="108">
        <f ca="1">IF(LEFT($A$84,5)="blank",0,D12/'Input Global'!D$18)</f>
        <v>6.3719017275711742</v>
      </c>
      <c r="E89" s="108">
        <f ca="1">IF(LEFT($A$84,5)="blank",0,E12/'Input Global'!E$18)</f>
        <v>18.107404734813731</v>
      </c>
      <c r="F89" s="108">
        <f ca="1">IF(LEFT($A$84,5)="blank",0,F12/'Input Global'!F$18)</f>
        <v>16.948834122612851</v>
      </c>
      <c r="G89" s="108">
        <f ca="1">IF(LEFT($A$84,5)="blank",0,G12/'Input Global'!G$18)</f>
        <v>16.6009672061424</v>
      </c>
      <c r="H89" s="108">
        <f ca="1">IF(LEFT($A$84,5)="blank",0,H12/'Input Global'!H$18)</f>
        <v>17.681902479187407</v>
      </c>
    </row>
    <row r="90" spans="1:8" x14ac:dyDescent="0.3">
      <c r="A90" t="str">
        <f t="shared" si="9"/>
        <v>Green Schemes</v>
      </c>
      <c r="C90" t="s">
        <v>11</v>
      </c>
      <c r="D90" s="103"/>
      <c r="E90" s="103"/>
      <c r="F90" s="103"/>
      <c r="G90" s="103"/>
      <c r="H90" s="103"/>
    </row>
    <row r="91" spans="1:8" x14ac:dyDescent="0.3">
      <c r="A91" s="11" t="str">
        <f t="shared" si="9"/>
        <v>Feed-in Tariffs</v>
      </c>
      <c r="C91" t="s">
        <v>11</v>
      </c>
      <c r="D91" s="108">
        <f>IF(LEFT($A$84,5)="blank",0,D14/'Input Global'!D$18)</f>
        <v>0</v>
      </c>
      <c r="E91" s="108">
        <f>IF(LEFT($A$84,5)="blank",0,E14/'Input Global'!E$18)</f>
        <v>6.3084530362979896E-2</v>
      </c>
      <c r="F91" s="108">
        <f>IF(LEFT($A$84,5)="blank",0,F14/'Input Global'!F$18)</f>
        <v>6.5392744002186406E-2</v>
      </c>
      <c r="G91" s="108">
        <f>IF(LEFT($A$84,5)="blank",0,G14/'Input Global'!G$18)</f>
        <v>6.7910661367941841E-2</v>
      </c>
      <c r="H91" s="108">
        <f>IF(LEFT($A$84,5)="blank",0,H14/'Input Global'!H$18)</f>
        <v>7.0318536124230599E-2</v>
      </c>
    </row>
    <row r="92" spans="1:8" x14ac:dyDescent="0.3">
      <c r="A92" s="11" t="str">
        <f t="shared" si="9"/>
        <v>Carbon costs</v>
      </c>
      <c r="C92" t="s">
        <v>11</v>
      </c>
      <c r="D92" s="108">
        <f ca="1">IF(LEFT($A$84,5)="blank",0,D15/'Input Global'!D$18)</f>
        <v>0</v>
      </c>
      <c r="E92" s="108">
        <f ca="1">IF(LEFT($A$84,5)="blank",0,E15/'Input Global'!E$18)</f>
        <v>0</v>
      </c>
      <c r="F92" s="108">
        <f ca="1">IF(LEFT($A$84,5)="blank",0,F15/'Input Global'!F$18)</f>
        <v>2.2400000000000002</v>
      </c>
      <c r="G92" s="108">
        <f ca="1">IF(LEFT($A$84,5)="blank",0,G15/'Input Global'!G$18)</f>
        <v>2.5063856367024897</v>
      </c>
      <c r="H92" s="108">
        <f ca="1">IF(LEFT($A$84,5)="blank",0,H15/'Input Global'!H$18)</f>
        <v>2.4506375937736258</v>
      </c>
    </row>
    <row r="93" spans="1:8" x14ac:dyDescent="0.3">
      <c r="A93" s="11" t="str">
        <f t="shared" si="9"/>
        <v>Large Scale Renewable Energy Target</v>
      </c>
      <c r="C93" t="s">
        <v>11</v>
      </c>
      <c r="D93" s="108">
        <f ca="1">IF(LEFT($A$84,5)="blank",0,D16/'Input Global'!D$18)</f>
        <v>0.25473754178777863</v>
      </c>
      <c r="E93" s="108">
        <f ca="1">IF(LEFT($A$84,5)="blank",0,E16/'Input Global'!E$18)</f>
        <v>0.44267417909205159</v>
      </c>
      <c r="F93" s="108">
        <f ca="1">IF(LEFT($A$84,5)="blank",0,F16/'Input Global'!F$18)</f>
        <v>0.6628193665535661</v>
      </c>
      <c r="G93" s="108">
        <f ca="1">IF(LEFT($A$84,5)="blank",0,G16/'Input Global'!G$18)</f>
        <v>0.71024842650382625</v>
      </c>
      <c r="H93" s="108">
        <f ca="1">IF(LEFT($A$84,5)="blank",0,H16/'Input Global'!H$18)</f>
        <v>0.75212223266646072</v>
      </c>
    </row>
    <row r="94" spans="1:8" x14ac:dyDescent="0.3">
      <c r="A94" s="11" t="str">
        <f t="shared" si="9"/>
        <v>Small Scale Renewable Energy Scheme</v>
      </c>
      <c r="C94" t="s">
        <v>11</v>
      </c>
      <c r="D94" s="108">
        <f ca="1">IF(LEFT($A$84,5)="blank",0,D17/'Input Global'!D$18)</f>
        <v>0.43999227350852893</v>
      </c>
      <c r="E94" s="108">
        <f ca="1">IF(LEFT($A$84,5)="blank",0,E17/'Input Global'!E$18)</f>
        <v>0.52897443353026441</v>
      </c>
      <c r="F94" s="108">
        <f ca="1">IF(LEFT($A$84,5)="blank",0,F17/'Input Global'!F$18)</f>
        <v>0.2881821035194338</v>
      </c>
      <c r="G94" s="108">
        <f ca="1">IF(LEFT($A$84,5)="blank",0,G17/'Input Global'!G$18)</f>
        <v>0.12683626123551275</v>
      </c>
      <c r="H94" s="108">
        <f ca="1">IF(LEFT($A$84,5)="blank",0,H17/'Input Global'!H$18)</f>
        <v>0.11021384523313774</v>
      </c>
    </row>
    <row r="95" spans="1:8" x14ac:dyDescent="0.3">
      <c r="A95" s="11" t="str">
        <f t="shared" si="9"/>
        <v>Energy Saver Incentive</v>
      </c>
      <c r="C95" t="s">
        <v>11</v>
      </c>
      <c r="D95" s="108">
        <f ca="1">IF(LEFT($A$84,5)="blank",0,D18/'Input Global'!D$18)</f>
        <v>0.39</v>
      </c>
      <c r="E95" s="108">
        <f ca="1">IF(LEFT($A$84,5)="blank",0,E18/'Input Global'!E$18)</f>
        <v>0.39</v>
      </c>
      <c r="F95" s="108">
        <f ca="1">IF(LEFT($A$84,5)="blank",0,F18/'Input Global'!F$18)</f>
        <v>0.38</v>
      </c>
      <c r="G95" s="108">
        <f ca="1">IF(LEFT($A$84,5)="blank",0,G18/'Input Global'!G$18)</f>
        <v>0.38</v>
      </c>
      <c r="H95" s="108">
        <f ca="1">IF(LEFT($A$84,5)="blank",0,H18/'Input Global'!H$18)</f>
        <v>0.38</v>
      </c>
    </row>
    <row r="96" spans="1:8" x14ac:dyDescent="0.3">
      <c r="A96" s="11" t="str">
        <f t="shared" si="9"/>
        <v>blank</v>
      </c>
      <c r="C96" t="s">
        <v>11</v>
      </c>
      <c r="D96" s="108">
        <f ca="1">IF(LEFT($A$84,5)="blank",0,D19/'Input Global'!D$18)</f>
        <v>0</v>
      </c>
      <c r="E96" s="108">
        <f ca="1">IF(LEFT($A$84,5)="blank",0,E19/'Input Global'!E$18)</f>
        <v>0</v>
      </c>
      <c r="F96" s="108">
        <f ca="1">IF(LEFT($A$84,5)="blank",0,F19/'Input Global'!F$18)</f>
        <v>0</v>
      </c>
      <c r="G96" s="108">
        <f ca="1">IF(LEFT($A$84,5)="blank",0,G19/'Input Global'!G$18)</f>
        <v>0</v>
      </c>
      <c r="H96" s="108">
        <f ca="1">IF(LEFT($A$84,5)="blank",0,H19/'Input Global'!H$18)</f>
        <v>0</v>
      </c>
    </row>
    <row r="97" spans="1:8" x14ac:dyDescent="0.3">
      <c r="A97" s="12" t="s">
        <v>53</v>
      </c>
      <c r="B97" s="12"/>
      <c r="C97" s="12" t="s">
        <v>11</v>
      </c>
      <c r="D97" s="108">
        <f ca="1">SUM(D85:D96)</f>
        <v>7.4566315428674814</v>
      </c>
      <c r="E97" s="108">
        <f t="shared" ref="E97:H97" ca="1" si="10">SUM(E85:E96)</f>
        <v>27.389620454267117</v>
      </c>
      <c r="F97" s="108">
        <f t="shared" ca="1" si="10"/>
        <v>29.300000000000004</v>
      </c>
      <c r="G97" s="108">
        <f t="shared" ca="1" si="10"/>
        <v>30.204591965544971</v>
      </c>
      <c r="H97" s="108">
        <f t="shared" ca="1" si="10"/>
        <v>32.408004578350067</v>
      </c>
    </row>
    <row r="99" spans="1:8" x14ac:dyDescent="0.3">
      <c r="A99" s="8" t="str">
        <f>Dist2</f>
        <v>Powercor</v>
      </c>
    </row>
    <row r="100" spans="1:8" ht="15" x14ac:dyDescent="0.25">
      <c r="A100" s="158"/>
      <c r="B100" s="158"/>
      <c r="C100" s="158"/>
      <c r="D100" s="158"/>
      <c r="E100" s="158"/>
      <c r="F100" s="158"/>
      <c r="G100" s="158"/>
      <c r="H100" s="158"/>
    </row>
    <row r="101" spans="1:8" x14ac:dyDescent="0.3">
      <c r="A101" t="str">
        <f t="shared" ref="A101:A111" si="11">A86</f>
        <v>Transmission</v>
      </c>
      <c r="C101" t="s">
        <v>11</v>
      </c>
      <c r="D101" s="108">
        <f>IF(LEFT($A$99,5)="blank",0,D24/'Input Global'!D$19)</f>
        <v>0</v>
      </c>
      <c r="E101" s="108">
        <f>IF(LEFT($A$99,5)="blank",0,E24/'Input Global'!E$19)</f>
        <v>1.3261051052416393</v>
      </c>
      <c r="F101" s="108">
        <f>IF(LEFT($A$99,5)="blank",0,F24/'Input Global'!F$19)</f>
        <v>1.3597219912972978</v>
      </c>
      <c r="G101" s="108">
        <f>IF(LEFT($A$99,5)="blank",0,G24/'Input Global'!G$19)</f>
        <v>1.395203749889431</v>
      </c>
      <c r="H101" s="108">
        <f>IF(LEFT($A$99,5)="blank",0,H24/'Input Global'!H$19)</f>
        <v>1.4300698070905618</v>
      </c>
    </row>
    <row r="102" spans="1:8" x14ac:dyDescent="0.3">
      <c r="A102" t="str">
        <f t="shared" si="11"/>
        <v>Distribution</v>
      </c>
      <c r="C102" t="s">
        <v>11</v>
      </c>
      <c r="D102" s="108">
        <f>IF(LEFT($A$99,5)="blank",0,D25/'Input Global'!D$19)</f>
        <v>0</v>
      </c>
      <c r="E102" s="108">
        <f>IF(LEFT($A$99,5)="blank",0,E25/'Input Global'!E$19)</f>
        <v>8.622202621612157</v>
      </c>
      <c r="F102" s="108">
        <f>IF(LEFT($A$99,5)="blank",0,F25/'Input Global'!F$19)</f>
        <v>9.5391960248663956</v>
      </c>
      <c r="G102" s="108">
        <f>IF(LEFT($A$99,5)="blank",0,G25/'Input Global'!G$19)</f>
        <v>10.577175103515302</v>
      </c>
      <c r="H102" s="108">
        <f>IF(LEFT($A$99,5)="blank",0,H25/'Input Global'!H$19)</f>
        <v>11.66237177113026</v>
      </c>
    </row>
    <row r="103" spans="1:8" ht="15" x14ac:dyDescent="0.25">
      <c r="A103" s="158"/>
      <c r="B103" s="158"/>
      <c r="C103" s="158"/>
      <c r="D103" s="158"/>
      <c r="E103" s="158"/>
      <c r="F103" s="158"/>
      <c r="G103" s="158"/>
      <c r="H103" s="158"/>
    </row>
    <row r="104" spans="1:8" x14ac:dyDescent="0.3">
      <c r="A104" t="str">
        <f t="shared" si="11"/>
        <v>Retail and Wholesale</v>
      </c>
      <c r="C104" t="s">
        <v>11</v>
      </c>
      <c r="D104" s="108">
        <f ca="1">IF(LEFT($A$99,5)="blank",0,D27/'Input Global'!D$19)</f>
        <v>7.3737156102082606</v>
      </c>
      <c r="E104" s="108">
        <f ca="1">IF(LEFT($A$99,5)="blank",0,E27/'Input Global'!E$19)</f>
        <v>18.503179007715648</v>
      </c>
      <c r="F104" s="108">
        <f ca="1">IF(LEFT($A$99,5)="blank",0,F27/'Input Global'!F$19)</f>
        <v>18.550682973467776</v>
      </c>
      <c r="G104" s="108">
        <f ca="1">IF(LEFT($A$99,5)="blank",0,G27/'Input Global'!G$19)</f>
        <v>18.231246657790287</v>
      </c>
      <c r="H104" s="108">
        <f ca="1">IF(LEFT($A$99,5)="blank",0,H27/'Input Global'!H$19)</f>
        <v>19.349638614885475</v>
      </c>
    </row>
    <row r="105" spans="1:8" x14ac:dyDescent="0.3">
      <c r="A105" t="str">
        <f t="shared" si="11"/>
        <v>Green Schemes</v>
      </c>
      <c r="C105" t="s">
        <v>11</v>
      </c>
      <c r="D105" s="103"/>
      <c r="E105" s="103"/>
      <c r="F105" s="103"/>
      <c r="G105" s="103"/>
      <c r="H105" s="103"/>
    </row>
    <row r="106" spans="1:8" x14ac:dyDescent="0.3">
      <c r="A106" s="11" t="str">
        <f t="shared" si="11"/>
        <v>Feed-in Tariffs</v>
      </c>
      <c r="C106" t="s">
        <v>11</v>
      </c>
      <c r="D106" s="108">
        <f>IF(LEFT($A$99,5)="blank",0,D29/'Input Global'!D$19)</f>
        <v>0</v>
      </c>
      <c r="E106" s="108">
        <f>IF(LEFT($A$99,5)="blank",0,E29/'Input Global'!E$19)</f>
        <v>0.31823094852919931</v>
      </c>
      <c r="F106" s="108">
        <f>IF(LEFT($A$99,5)="blank",0,F29/'Input Global'!F$19)</f>
        <v>0.32758737030643331</v>
      </c>
      <c r="G106" s="108">
        <f>IF(LEFT($A$99,5)="blank",0,G29/'Input Global'!G$19)</f>
        <v>0.33746890237339194</v>
      </c>
      <c r="H106" s="108">
        <f>IF(LEFT($A$99,5)="blank",0,H29/'Input Global'!H$19)</f>
        <v>0.34726605604934618</v>
      </c>
    </row>
    <row r="107" spans="1:8" x14ac:dyDescent="0.3">
      <c r="A107" s="11" t="str">
        <f t="shared" si="11"/>
        <v>Carbon costs</v>
      </c>
      <c r="C107" t="s">
        <v>11</v>
      </c>
      <c r="D107" s="108">
        <f ca="1">IF(LEFT($A$99,5)="blank",0,D30/'Input Global'!D$19)</f>
        <v>0</v>
      </c>
      <c r="E107" s="108">
        <f ca="1">IF(LEFT($A$99,5)="blank",0,E30/'Input Global'!E$19)</f>
        <v>0</v>
      </c>
      <c r="F107" s="108">
        <f ca="1">IF(LEFT($A$99,5)="blank",0,F30/'Input Global'!F$19)</f>
        <v>2.2400000000000002</v>
      </c>
      <c r="G107" s="108">
        <f ca="1">IF(LEFT($A$99,5)="blank",0,G30/'Input Global'!G$19)</f>
        <v>2.522441159419115</v>
      </c>
      <c r="H107" s="108">
        <f ca="1">IF(LEFT($A$99,5)="blank",0,H30/'Input Global'!H$19)</f>
        <v>2.4798567947853289</v>
      </c>
    </row>
    <row r="108" spans="1:8" x14ac:dyDescent="0.3">
      <c r="A108" s="11" t="str">
        <f t="shared" si="11"/>
        <v>Large Scale Renewable Energy Target</v>
      </c>
      <c r="C108" t="s">
        <v>11</v>
      </c>
      <c r="D108" s="108">
        <f ca="1">IF(LEFT($A$99,5)="blank",0,D31/'Input Global'!D$19)</f>
        <v>0.25473754178777863</v>
      </c>
      <c r="E108" s="108">
        <f ca="1">IF(LEFT($A$99,5)="blank",0,E31/'Input Global'!E$19)</f>
        <v>0.44267417909205159</v>
      </c>
      <c r="F108" s="108">
        <f ca="1">IF(LEFT($A$99,5)="blank",0,F31/'Input Global'!F$19)</f>
        <v>0.6628193665535661</v>
      </c>
      <c r="G108" s="108">
        <f ca="1">IF(LEFT($A$99,5)="blank",0,G31/'Input Global'!G$19)</f>
        <v>0.71024842650382625</v>
      </c>
      <c r="H108" s="108">
        <f ca="1">IF(LEFT($A$99,5)="blank",0,H31/'Input Global'!H$19)</f>
        <v>0.75212223266646072</v>
      </c>
    </row>
    <row r="109" spans="1:8" x14ac:dyDescent="0.3">
      <c r="A109" s="11" t="str">
        <f t="shared" si="11"/>
        <v>Small Scale Renewable Energy Scheme</v>
      </c>
      <c r="C109" t="s">
        <v>11</v>
      </c>
      <c r="D109" s="108">
        <f ca="1">IF(LEFT($A$99,5)="blank",0,D32/'Input Global'!D$19)</f>
        <v>0.43999227350852893</v>
      </c>
      <c r="E109" s="108">
        <f ca="1">IF(LEFT($A$99,5)="blank",0,E32/'Input Global'!E$19)</f>
        <v>0.43999227350852893</v>
      </c>
      <c r="F109" s="108">
        <f ca="1">IF(LEFT($A$99,5)="blank",0,F32/'Input Global'!F$19)</f>
        <v>0.43999227350852893</v>
      </c>
      <c r="G109" s="108">
        <f ca="1">IF(LEFT($A$99,5)="blank",0,G32/'Input Global'!G$19)</f>
        <v>0.19365177178870679</v>
      </c>
      <c r="H109" s="108">
        <f ca="1">IF(LEFT($A$99,5)="blank",0,H32/'Input Global'!H$19)</f>
        <v>0.16827290710984494</v>
      </c>
    </row>
    <row r="110" spans="1:8" x14ac:dyDescent="0.3">
      <c r="A110" s="11" t="str">
        <f t="shared" si="11"/>
        <v>Energy Saver Incentive</v>
      </c>
      <c r="C110" t="s">
        <v>11</v>
      </c>
      <c r="D110" s="108">
        <f ca="1">IF(LEFT($A$99,5)="blank",0,D33/'Input Global'!D$19)</f>
        <v>0.39</v>
      </c>
      <c r="E110" s="108">
        <f ca="1">IF(LEFT($A$99,5)="blank",0,E33/'Input Global'!E$19)</f>
        <v>0.39</v>
      </c>
      <c r="F110" s="108">
        <f ca="1">IF(LEFT($A$99,5)="blank",0,F33/'Input Global'!F$19)</f>
        <v>0.38</v>
      </c>
      <c r="G110" s="108">
        <f ca="1">IF(LEFT($A$99,5)="blank",0,G33/'Input Global'!G$19)</f>
        <v>0.38</v>
      </c>
      <c r="H110" s="108">
        <f ca="1">IF(LEFT($A$99,5)="blank",0,H33/'Input Global'!H$19)</f>
        <v>0.38</v>
      </c>
    </row>
    <row r="111" spans="1:8" x14ac:dyDescent="0.3">
      <c r="A111" s="11" t="str">
        <f t="shared" si="11"/>
        <v>blank</v>
      </c>
      <c r="C111" t="s">
        <v>11</v>
      </c>
      <c r="D111" s="108">
        <f ca="1">IF(LEFT($A$99,5)="blank",0,D34/'Input Global'!D$19)</f>
        <v>0</v>
      </c>
      <c r="E111" s="108">
        <f ca="1">IF(LEFT($A$99,5)="blank",0,E34/'Input Global'!E$19)</f>
        <v>0</v>
      </c>
      <c r="F111" s="108">
        <f ca="1">IF(LEFT($A$99,5)="blank",0,F34/'Input Global'!F$19)</f>
        <v>0</v>
      </c>
      <c r="G111" s="108">
        <f ca="1">IF(LEFT($A$99,5)="blank",0,G34/'Input Global'!G$19)</f>
        <v>0</v>
      </c>
      <c r="H111" s="108">
        <f ca="1">IF(LEFT($A$99,5)="blank",0,H34/'Input Global'!H$19)</f>
        <v>0</v>
      </c>
    </row>
    <row r="112" spans="1:8" x14ac:dyDescent="0.3">
      <c r="A112" s="12" t="s">
        <v>53</v>
      </c>
      <c r="B112" s="12"/>
      <c r="C112" s="12" t="s">
        <v>11</v>
      </c>
      <c r="D112" s="108">
        <f ca="1">SUM(D100:D111)</f>
        <v>8.4584454255045696</v>
      </c>
      <c r="E112" s="108">
        <f t="shared" ref="E112:H112" ca="1" si="12">SUM(E100:E111)</f>
        <v>30.042384135699223</v>
      </c>
      <c r="F112" s="108">
        <f t="shared" ca="1" si="12"/>
        <v>33.5</v>
      </c>
      <c r="G112" s="108">
        <f t="shared" ca="1" si="12"/>
        <v>34.347435771280061</v>
      </c>
      <c r="H112" s="108">
        <f t="shared" ca="1" si="12"/>
        <v>36.569598183717275</v>
      </c>
    </row>
    <row r="114" spans="1:8" x14ac:dyDescent="0.3">
      <c r="A114" s="8" t="str">
        <f>Dist3</f>
        <v>SP Ausnet</v>
      </c>
    </row>
    <row r="115" spans="1:8" ht="15" x14ac:dyDescent="0.25">
      <c r="A115" s="158"/>
      <c r="B115" s="158"/>
      <c r="C115" s="158"/>
      <c r="D115" s="158"/>
      <c r="E115" s="158"/>
      <c r="F115" s="158"/>
      <c r="G115" s="158"/>
      <c r="H115" s="158"/>
    </row>
    <row r="116" spans="1:8" x14ac:dyDescent="0.3">
      <c r="A116" t="str">
        <f t="shared" ref="A116:A126" si="13">A101</f>
        <v>Transmission</v>
      </c>
      <c r="C116" t="s">
        <v>11</v>
      </c>
      <c r="D116" s="108">
        <f>IF(LEFT($A$114,5)="blank",0,D39/'Input Global'!D$20)</f>
        <v>0</v>
      </c>
      <c r="E116" s="108">
        <f>IF(LEFT($A$114,5)="blank",0,E39/'Input Global'!E$20)</f>
        <v>1.0787836959432828</v>
      </c>
      <c r="F116" s="108">
        <f>IF(LEFT($A$114,5)="blank",0,F39/'Input Global'!F$20)</f>
        <v>1.1015003910790115</v>
      </c>
      <c r="G116" s="108">
        <f>IF(LEFT($A$114,5)="blank",0,G39/'Input Global'!G$20)</f>
        <v>1.1246954473911559</v>
      </c>
      <c r="H116" s="108">
        <f>IF(LEFT($A$114,5)="blank",0,H39/'Input Global'!H$20)</f>
        <v>1.1483789380621812</v>
      </c>
    </row>
    <row r="117" spans="1:8" x14ac:dyDescent="0.3">
      <c r="A117" t="str">
        <f t="shared" si="13"/>
        <v>Distribution</v>
      </c>
      <c r="C117" t="s">
        <v>11</v>
      </c>
      <c r="D117" s="108">
        <f>IF(LEFT($A$114,5)="blank",0,D40/'Input Global'!D$20)</f>
        <v>0</v>
      </c>
      <c r="E117" s="108">
        <f>IF(LEFT($A$114,5)="blank",0,E40/'Input Global'!E$20)</f>
        <v>9.2278146998124573</v>
      </c>
      <c r="F117" s="108">
        <f>IF(LEFT($A$114,5)="blank",0,F40/'Input Global'!F$20)</f>
        <v>10.243241998203711</v>
      </c>
      <c r="G117" s="108">
        <f>IF(LEFT($A$114,5)="blank",0,G40/'Input Global'!G$20)</f>
        <v>11.514049686174685</v>
      </c>
      <c r="H117" s="108">
        <f>IF(LEFT($A$114,5)="blank",0,H40/'Input Global'!H$20)</f>
        <v>12.900784361842325</v>
      </c>
    </row>
    <row r="118" spans="1:8" ht="15" x14ac:dyDescent="0.25">
      <c r="A118" s="158"/>
      <c r="B118" s="158"/>
      <c r="C118" s="158"/>
      <c r="D118" s="158"/>
      <c r="E118" s="158"/>
      <c r="F118" s="158"/>
      <c r="G118" s="158"/>
      <c r="H118" s="158"/>
    </row>
    <row r="119" spans="1:8" x14ac:dyDescent="0.3">
      <c r="A119" t="str">
        <f t="shared" si="13"/>
        <v>Retail and Wholesale</v>
      </c>
      <c r="C119" t="s">
        <v>11</v>
      </c>
      <c r="D119" s="108">
        <f ca="1">IF(LEFT($A$114,5)="blank",0,D42/'Input Global'!D$20)</f>
        <v>7.871243079051883</v>
      </c>
      <c r="E119" s="108">
        <f ca="1">IF(LEFT($A$114,5)="blank",0,E42/'Input Global'!E$20)</f>
        <v>17.222002545453087</v>
      </c>
      <c r="F119" s="108">
        <f ca="1">IF(LEFT($A$114,5)="blank",0,F42/'Input Global'!F$20)</f>
        <v>16.663201608676292</v>
      </c>
      <c r="G119" s="108">
        <f ca="1">IF(LEFT($A$114,5)="blank",0,G42/'Input Global'!G$20)</f>
        <v>16.698441758103293</v>
      </c>
      <c r="H119" s="108">
        <f ca="1">IF(LEFT($A$114,5)="blank",0,H42/'Input Global'!H$20)</f>
        <v>17.753801443399031</v>
      </c>
    </row>
    <row r="120" spans="1:8" x14ac:dyDescent="0.3">
      <c r="A120" t="str">
        <f t="shared" si="13"/>
        <v>Green Schemes</v>
      </c>
      <c r="C120" t="s">
        <v>11</v>
      </c>
      <c r="D120" s="103"/>
      <c r="E120" s="103"/>
      <c r="F120" s="103"/>
      <c r="G120" s="103"/>
      <c r="H120" s="103"/>
    </row>
    <row r="121" spans="1:8" x14ac:dyDescent="0.3">
      <c r="A121" s="11" t="str">
        <f t="shared" si="13"/>
        <v>Feed-in Tariffs</v>
      </c>
      <c r="C121" t="s">
        <v>11</v>
      </c>
      <c r="D121" s="108">
        <f>IF(LEFT($A$114,5)="blank",0,D44/'Input Global'!D$20)</f>
        <v>0</v>
      </c>
      <c r="E121" s="108">
        <f>IF(LEFT($A$114,5)="blank",0,E44/'Input Global'!E$20)</f>
        <v>0.21444635730876013</v>
      </c>
      <c r="F121" s="108">
        <f>IF(LEFT($A$114,5)="blank",0,F44/'Input Global'!F$20)</f>
        <v>0.22105453196797845</v>
      </c>
      <c r="G121" s="108">
        <f>IF(LEFT($A$114,5)="blank",0,G44/'Input Global'!G$20)</f>
        <v>0.2280871700261681</v>
      </c>
      <c r="H121" s="108">
        <f>IF(LEFT($A$114,5)="blank",0,H44/'Input Global'!H$20)</f>
        <v>0.2350005593165477</v>
      </c>
    </row>
    <row r="122" spans="1:8" x14ac:dyDescent="0.3">
      <c r="A122" s="11" t="str">
        <f t="shared" si="13"/>
        <v>Carbon costs</v>
      </c>
      <c r="C122" t="s">
        <v>11</v>
      </c>
      <c r="D122" s="108">
        <f ca="1">IF(LEFT($A$114,5)="blank",0,D45/'Input Global'!D$20)</f>
        <v>0</v>
      </c>
      <c r="E122" s="108">
        <f ca="1">IF(LEFT($A$114,5)="blank",0,E45/'Input Global'!E$20)</f>
        <v>0</v>
      </c>
      <c r="F122" s="108">
        <f ca="1">IF(LEFT($A$114,5)="blank",0,F45/'Input Global'!F$20)</f>
        <v>2.2400000000000002</v>
      </c>
      <c r="G122" s="108">
        <f ca="1">IF(LEFT($A$114,5)="blank",0,G45/'Input Global'!G$20)</f>
        <v>2.4899558233391459</v>
      </c>
      <c r="H122" s="108">
        <f ca="1">IF(LEFT($A$114,5)="blank",0,H45/'Input Global'!H$20)</f>
        <v>2.4552372942782954</v>
      </c>
    </row>
    <row r="123" spans="1:8" x14ac:dyDescent="0.3">
      <c r="A123" s="11" t="str">
        <f t="shared" si="13"/>
        <v>Large Scale Renewable Energy Target</v>
      </c>
      <c r="C123" t="s">
        <v>11</v>
      </c>
      <c r="D123" s="108">
        <f ca="1">IF(LEFT($A$114,5)="blank",0,D46/'Input Global'!D$20)</f>
        <v>0.25473754178777863</v>
      </c>
      <c r="E123" s="108">
        <f ca="1">IF(LEFT($A$114,5)="blank",0,E46/'Input Global'!E$20)</f>
        <v>0.44267417909205159</v>
      </c>
      <c r="F123" s="108">
        <f ca="1">IF(LEFT($A$114,5)="blank",0,F46/'Input Global'!F$20)</f>
        <v>0.6628193665535661</v>
      </c>
      <c r="G123" s="108">
        <f ca="1">IF(LEFT($A$114,5)="blank",0,G46/'Input Global'!G$20)</f>
        <v>0.71024842650382625</v>
      </c>
      <c r="H123" s="108">
        <f ca="1">IF(LEFT($A$114,5)="blank",0,H46/'Input Global'!H$20)</f>
        <v>0.75212223266646072</v>
      </c>
    </row>
    <row r="124" spans="1:8" x14ac:dyDescent="0.3">
      <c r="A124" s="11" t="str">
        <f t="shared" si="13"/>
        <v>Small Scale Renewable Energy Scheme</v>
      </c>
      <c r="C124" t="s">
        <v>11</v>
      </c>
      <c r="D124" s="108">
        <f ca="1">IF(LEFT($A$114,5)="blank",0,D47/'Input Global'!D$20)</f>
        <v>0.43999227350852893</v>
      </c>
      <c r="E124" s="108">
        <f ca="1">IF(LEFT($A$114,5)="blank",0,E47/'Input Global'!E$20)</f>
        <v>0.52897443353026441</v>
      </c>
      <c r="F124" s="108">
        <f ca="1">IF(LEFT($A$114,5)="blank",0,F47/'Input Global'!F$20)</f>
        <v>0.2881821035194338</v>
      </c>
      <c r="G124" s="108">
        <f ca="1">IF(LEFT($A$114,5)="blank",0,G47/'Input Global'!G$20)</f>
        <v>0.12683626123551256</v>
      </c>
      <c r="H124" s="108">
        <f ca="1">IF(LEFT($A$114,5)="blank",0,H47/'Input Global'!H$20)</f>
        <v>0.11021384523313771</v>
      </c>
    </row>
    <row r="125" spans="1:8" x14ac:dyDescent="0.3">
      <c r="A125" s="11" t="str">
        <f t="shared" si="13"/>
        <v>Energy Saver Incentive</v>
      </c>
      <c r="C125" t="s">
        <v>11</v>
      </c>
      <c r="D125" s="108">
        <f ca="1">IF(LEFT($A$114,5)="blank",0,D48/'Input Global'!D$20)</f>
        <v>0.39</v>
      </c>
      <c r="E125" s="108">
        <f ca="1">IF(LEFT($A$114,5)="blank",0,E48/'Input Global'!E$20)</f>
        <v>0.39</v>
      </c>
      <c r="F125" s="108">
        <f ca="1">IF(LEFT($A$114,5)="blank",0,F48/'Input Global'!F$20)</f>
        <v>0.38</v>
      </c>
      <c r="G125" s="108">
        <f ca="1">IF(LEFT($A$114,5)="blank",0,G48/'Input Global'!G$20)</f>
        <v>0.38</v>
      </c>
      <c r="H125" s="108">
        <f ca="1">IF(LEFT($A$114,5)="blank",0,H48/'Input Global'!H$20)</f>
        <v>0.38</v>
      </c>
    </row>
    <row r="126" spans="1:8" x14ac:dyDescent="0.3">
      <c r="A126" s="11" t="str">
        <f t="shared" si="13"/>
        <v>blank</v>
      </c>
      <c r="C126" t="s">
        <v>11</v>
      </c>
      <c r="D126" s="108">
        <f ca="1">IF(LEFT($A$114,5)="blank",0,D49/'Input Global'!D$20)</f>
        <v>0</v>
      </c>
      <c r="E126" s="108">
        <f ca="1">IF(LEFT($A$114,5)="blank",0,E49/'Input Global'!E$20)</f>
        <v>0</v>
      </c>
      <c r="F126" s="108">
        <f ca="1">IF(LEFT($A$114,5)="blank",0,F49/'Input Global'!F$20)</f>
        <v>0</v>
      </c>
      <c r="G126" s="108">
        <f ca="1">IF(LEFT($A$114,5)="blank",0,G49/'Input Global'!G$20)</f>
        <v>0</v>
      </c>
      <c r="H126" s="108">
        <f ca="1">IF(LEFT($A$114,5)="blank",0,H49/'Input Global'!H$20)</f>
        <v>0</v>
      </c>
    </row>
    <row r="127" spans="1:8" x14ac:dyDescent="0.3">
      <c r="A127" s="12" t="s">
        <v>53</v>
      </c>
      <c r="B127" s="12"/>
      <c r="C127" s="12" t="s">
        <v>11</v>
      </c>
      <c r="D127" s="108">
        <f ca="1">SUM(D115:D126)</f>
        <v>8.9559728943481929</v>
      </c>
      <c r="E127" s="108">
        <f t="shared" ref="E127:H127" ca="1" si="14">SUM(E115:E126)</f>
        <v>29.104695911139906</v>
      </c>
      <c r="F127" s="108">
        <f t="shared" ca="1" si="14"/>
        <v>31.79999999999999</v>
      </c>
      <c r="G127" s="108">
        <f t="shared" ca="1" si="14"/>
        <v>33.272314572773787</v>
      </c>
      <c r="H127" s="108">
        <f t="shared" ca="1" si="14"/>
        <v>35.735538674797986</v>
      </c>
    </row>
    <row r="129" spans="1:8" x14ac:dyDescent="0.3">
      <c r="A129" s="8" t="str">
        <f>Dist4</f>
        <v>United</v>
      </c>
    </row>
    <row r="130" spans="1:8" ht="15" x14ac:dyDescent="0.25">
      <c r="A130" s="158"/>
      <c r="B130" s="158"/>
      <c r="C130" s="158"/>
      <c r="D130" s="158"/>
      <c r="E130" s="158"/>
      <c r="F130" s="158"/>
      <c r="G130" s="158"/>
      <c r="H130" s="158"/>
    </row>
    <row r="131" spans="1:8" x14ac:dyDescent="0.3">
      <c r="A131" t="str">
        <f t="shared" ref="A131:A141" si="15">A116</f>
        <v>Transmission</v>
      </c>
      <c r="C131" t="s">
        <v>11</v>
      </c>
      <c r="D131" s="108">
        <f>IF(LEFT($A$129,5)="blank",0,D54/'Input Global'!D$21)</f>
        <v>0</v>
      </c>
      <c r="E131" s="108">
        <f>IF(LEFT($A$129,5)="blank",0,E54/'Input Global'!E$21)</f>
        <v>1.6561700596466677</v>
      </c>
      <c r="F131" s="108">
        <f>IF(LEFT($A$129,5)="blank",0,F54/'Input Global'!F$21)</f>
        <v>1.6910451791719194</v>
      </c>
      <c r="G131" s="108">
        <f>IF(LEFT($A$129,5)="blank",0,G54/'Input Global'!G$21)</f>
        <v>1.7266546882333278</v>
      </c>
      <c r="H131" s="108">
        <f>IF(LEFT($A$129,5)="blank",0,H54/'Input Global'!H$21)</f>
        <v>1.7630140513797794</v>
      </c>
    </row>
    <row r="132" spans="1:8" x14ac:dyDescent="0.3">
      <c r="A132" t="str">
        <f t="shared" si="15"/>
        <v>Distribution</v>
      </c>
      <c r="C132" t="s">
        <v>11</v>
      </c>
      <c r="D132" s="108">
        <f>IF(LEFT($A$129,5)="blank",0,D55/'Input Global'!D$21)</f>
        <v>0</v>
      </c>
      <c r="E132" s="108">
        <f>IF(LEFT($A$129,5)="blank",0,E55/'Input Global'!E$21)</f>
        <v>7.8178721046633237</v>
      </c>
      <c r="F132" s="108">
        <f>IF(LEFT($A$129,5)="blank",0,F55/'Input Global'!F$21)</f>
        <v>8.7512934004952605</v>
      </c>
      <c r="G132" s="108">
        <f>IF(LEFT($A$129,5)="blank",0,G55/'Input Global'!G$21)</f>
        <v>10.104781774798054</v>
      </c>
      <c r="H132" s="108">
        <f>IF(LEFT($A$129,5)="blank",0,H55/'Input Global'!H$21)</f>
        <v>11.630326020023276</v>
      </c>
    </row>
    <row r="133" spans="1:8" ht="15" x14ac:dyDescent="0.25">
      <c r="A133" s="158"/>
      <c r="B133" s="158"/>
      <c r="C133" s="158"/>
      <c r="D133" s="158"/>
      <c r="E133" s="158"/>
      <c r="F133" s="158"/>
      <c r="G133" s="158"/>
      <c r="H133" s="158"/>
    </row>
    <row r="134" spans="1:8" x14ac:dyDescent="0.3">
      <c r="A134" t="str">
        <f t="shared" si="15"/>
        <v>Retail and Wholesale</v>
      </c>
      <c r="C134" t="s">
        <v>11</v>
      </c>
      <c r="D134" s="108">
        <f ca="1">IF(LEFT($A$129,5)="blank",0,D57/'Input Global'!D$21)</f>
        <v>7.9244250313030822</v>
      </c>
      <c r="E134" s="108">
        <f ca="1">IF(LEFT($A$129,5)="blank",0,E57/'Input Global'!E$21)</f>
        <v>16.66593869433494</v>
      </c>
      <c r="F134" s="108">
        <f ca="1">IF(LEFT($A$129,5)="blank",0,F57/'Input Global'!F$21)</f>
        <v>16.524894287038475</v>
      </c>
      <c r="G134" s="108">
        <f ca="1">IF(LEFT($A$129,5)="blank",0,G57/'Input Global'!G$21)</f>
        <v>16.222776558718014</v>
      </c>
      <c r="H134" s="108">
        <f ca="1">IF(LEFT($A$129,5)="blank",0,H57/'Input Global'!H$21)</f>
        <v>17.289787353215715</v>
      </c>
    </row>
    <row r="135" spans="1:8" x14ac:dyDescent="0.3">
      <c r="A135" t="str">
        <f t="shared" si="15"/>
        <v>Green Schemes</v>
      </c>
      <c r="C135" t="s">
        <v>11</v>
      </c>
      <c r="D135" s="103"/>
      <c r="E135" s="103"/>
      <c r="F135" s="103"/>
      <c r="G135" s="103"/>
      <c r="H135" s="103"/>
    </row>
    <row r="136" spans="1:8" x14ac:dyDescent="0.3">
      <c r="A136" s="11" t="str">
        <f t="shared" si="15"/>
        <v>Feed-in Tariffs</v>
      </c>
      <c r="C136" t="s">
        <v>11</v>
      </c>
      <c r="D136" s="108">
        <f>IF(LEFT($A$129,5)="blank",0,D59/'Input Global'!D$21)</f>
        <v>0</v>
      </c>
      <c r="E136" s="108">
        <f>IF(LEFT($A$129,5)="blank",0,E59/'Input Global'!E$21)</f>
        <v>0.15430765050398682</v>
      </c>
      <c r="F136" s="108">
        <f>IF(LEFT($A$129,5)="blank",0,F59/'Input Global'!F$21)</f>
        <v>0.161765663221349</v>
      </c>
      <c r="G136" s="108">
        <f>IF(LEFT($A$129,5)="blank",0,G59/'Input Global'!G$21)</f>
        <v>0.17015864597230129</v>
      </c>
      <c r="H136" s="108">
        <f>IF(LEFT($A$129,5)="blank",0,H59/'Input Global'!H$21)</f>
        <v>0.17790955718780202</v>
      </c>
    </row>
    <row r="137" spans="1:8" x14ac:dyDescent="0.3">
      <c r="A137" s="11" t="str">
        <f t="shared" si="15"/>
        <v>Carbon costs</v>
      </c>
      <c r="C137" t="s">
        <v>11</v>
      </c>
      <c r="D137" s="108">
        <f ca="1">IF(LEFT($A$129,5)="blank",0,D60/'Input Global'!D$21)</f>
        <v>0</v>
      </c>
      <c r="E137" s="108">
        <f ca="1">IF(LEFT($A$129,5)="blank",0,E60/'Input Global'!E$21)</f>
        <v>0</v>
      </c>
      <c r="F137" s="108">
        <f ca="1">IF(LEFT($A$129,5)="blank",0,F60/'Input Global'!F$21)</f>
        <v>2.2400000000000002</v>
      </c>
      <c r="G137" s="108">
        <f ca="1">IF(LEFT($A$129,5)="blank",0,G60/'Input Global'!G$21)</f>
        <v>2.5097915416869019</v>
      </c>
      <c r="H137" s="108">
        <f ca="1">IF(LEFT($A$129,5)="blank",0,H60/'Input Global'!H$21)</f>
        <v>2.4531280630206824</v>
      </c>
    </row>
    <row r="138" spans="1:8" x14ac:dyDescent="0.3">
      <c r="A138" s="11" t="str">
        <f t="shared" si="15"/>
        <v>Large Scale Renewable Energy Target</v>
      </c>
      <c r="C138" t="s">
        <v>11</v>
      </c>
      <c r="D138" s="108">
        <f ca="1">IF(LEFT($A$129,5)="blank",0,D61/'Input Global'!D$21)</f>
        <v>0.25473754178777863</v>
      </c>
      <c r="E138" s="108">
        <f ca="1">IF(LEFT($A$129,5)="blank",0,E61/'Input Global'!E$21)</f>
        <v>0.44267417909205159</v>
      </c>
      <c r="F138" s="108">
        <f ca="1">IF(LEFT($A$129,5)="blank",0,F61/'Input Global'!F$21)</f>
        <v>0.6628193665535661</v>
      </c>
      <c r="G138" s="108">
        <f ca="1">IF(LEFT($A$129,5)="blank",0,G61/'Input Global'!G$21)</f>
        <v>0.71024842650382625</v>
      </c>
      <c r="H138" s="108">
        <f ca="1">IF(LEFT($A$129,5)="blank",0,H61/'Input Global'!H$21)</f>
        <v>0.75212223266646072</v>
      </c>
    </row>
    <row r="139" spans="1:8" x14ac:dyDescent="0.3">
      <c r="A139" s="11" t="str">
        <f t="shared" si="15"/>
        <v>Small Scale Renewable Energy Scheme</v>
      </c>
      <c r="C139" t="s">
        <v>11</v>
      </c>
      <c r="D139" s="108">
        <f ca="1">IF(LEFT($A$129,5)="blank",0,D62/'Input Global'!D$21)</f>
        <v>0.43999227350852893</v>
      </c>
      <c r="E139" s="108">
        <f ca="1">IF(LEFT($A$129,5)="blank",0,E62/'Input Global'!E$21)</f>
        <v>0.52897443353026441</v>
      </c>
      <c r="F139" s="108">
        <f ca="1">IF(LEFT($A$129,5)="blank",0,F62/'Input Global'!F$21)</f>
        <v>0.2881821035194338</v>
      </c>
      <c r="G139" s="108">
        <f ca="1">IF(LEFT($A$129,5)="blank",0,G62/'Input Global'!G$21)</f>
        <v>0.12683626123551256</v>
      </c>
      <c r="H139" s="108">
        <f ca="1">IF(LEFT($A$129,5)="blank",0,H62/'Input Global'!H$21)</f>
        <v>0.11021384523313771</v>
      </c>
    </row>
    <row r="140" spans="1:8" x14ac:dyDescent="0.3">
      <c r="A140" s="11" t="str">
        <f t="shared" si="15"/>
        <v>Energy Saver Incentive</v>
      </c>
      <c r="C140" t="s">
        <v>11</v>
      </c>
      <c r="D140" s="108">
        <f ca="1">IF(LEFT($A$129,5)="blank",0,D63/'Input Global'!D$21)</f>
        <v>0.39</v>
      </c>
      <c r="E140" s="108">
        <f ca="1">IF(LEFT($A$129,5)="blank",0,E63/'Input Global'!E$21)</f>
        <v>0.39</v>
      </c>
      <c r="F140" s="108">
        <f ca="1">IF(LEFT($A$129,5)="blank",0,F63/'Input Global'!F$21)</f>
        <v>0.38</v>
      </c>
      <c r="G140" s="108">
        <f ca="1">IF(LEFT($A$129,5)="blank",0,G63/'Input Global'!G$21)</f>
        <v>0.38</v>
      </c>
      <c r="H140" s="108">
        <f ca="1">IF(LEFT($A$129,5)="blank",0,H63/'Input Global'!H$21)</f>
        <v>0.38</v>
      </c>
    </row>
    <row r="141" spans="1:8" x14ac:dyDescent="0.3">
      <c r="A141" s="11" t="str">
        <f t="shared" si="15"/>
        <v>blank</v>
      </c>
      <c r="C141" t="s">
        <v>11</v>
      </c>
      <c r="D141" s="108">
        <f ca="1">IF(LEFT($A$129,5)="blank",0,D64/'Input Global'!D$21)</f>
        <v>0</v>
      </c>
      <c r="E141" s="108">
        <f ca="1">IF(LEFT($A$129,5)="blank",0,E64/'Input Global'!E$21)</f>
        <v>0</v>
      </c>
      <c r="F141" s="108">
        <f ca="1">IF(LEFT($A$129,5)="blank",0,F64/'Input Global'!F$21)</f>
        <v>0</v>
      </c>
      <c r="G141" s="108">
        <f ca="1">IF(LEFT($A$129,5)="blank",0,G64/'Input Global'!G$21)</f>
        <v>0</v>
      </c>
      <c r="H141" s="108">
        <f ca="1">IF(LEFT($A$129,5)="blank",0,H64/'Input Global'!H$21)</f>
        <v>0</v>
      </c>
    </row>
    <row r="142" spans="1:8" x14ac:dyDescent="0.3">
      <c r="A142" s="12" t="s">
        <v>53</v>
      </c>
      <c r="B142" s="12"/>
      <c r="C142" s="12" t="s">
        <v>11</v>
      </c>
      <c r="D142" s="108">
        <f ca="1">SUM(D130:D141)</f>
        <v>9.0091548465993903</v>
      </c>
      <c r="E142" s="108">
        <f t="shared" ref="E142:H142" ca="1" si="16">SUM(E130:E141)</f>
        <v>27.655937121771238</v>
      </c>
      <c r="F142" s="108">
        <f t="shared" ca="1" si="16"/>
        <v>30.700000000000003</v>
      </c>
      <c r="G142" s="108">
        <f t="shared" ca="1" si="16"/>
        <v>31.95124789714794</v>
      </c>
      <c r="H142" s="108">
        <f t="shared" ca="1" si="16"/>
        <v>34.556501122726857</v>
      </c>
    </row>
    <row r="144" spans="1:8" x14ac:dyDescent="0.3">
      <c r="A144" s="8" t="str">
        <f>Dist5</f>
        <v>Jemena</v>
      </c>
    </row>
    <row r="145" spans="1:8" ht="15" x14ac:dyDescent="0.25">
      <c r="A145" s="158"/>
      <c r="B145" s="158"/>
      <c r="C145" s="158"/>
      <c r="D145" s="158"/>
      <c r="E145" s="158"/>
      <c r="F145" s="158"/>
      <c r="G145" s="158"/>
      <c r="H145" s="158"/>
    </row>
    <row r="146" spans="1:8" x14ac:dyDescent="0.3">
      <c r="A146" t="str">
        <f t="shared" ref="A146:A156" si="17">A131</f>
        <v>Transmission</v>
      </c>
      <c r="C146" t="s">
        <v>11</v>
      </c>
      <c r="D146" s="108">
        <f>IF(LEFT($A$144,5)="blank",0,D69/'Input Global'!D$22)</f>
        <v>0</v>
      </c>
      <c r="E146" s="108">
        <f>IF(LEFT($A$144,5)="blank",0,E69/'Input Global'!E$22)</f>
        <v>1.0040285135037108</v>
      </c>
      <c r="F146" s="108">
        <f>IF(LEFT($A$144,5)="blank",0,F69/'Input Global'!F$22)</f>
        <v>1.0268033134482082</v>
      </c>
      <c r="G146" s="108">
        <f>IF(LEFT($A$144,5)="blank",0,G69/'Input Global'!G$22)</f>
        <v>1.0503894710336108</v>
      </c>
      <c r="H146" s="108">
        <f>IF(LEFT($A$144,5)="blank",0,H69/'Input Global'!H$22)</f>
        <v>1.074081486041951</v>
      </c>
    </row>
    <row r="147" spans="1:8" x14ac:dyDescent="0.3">
      <c r="A147" t="str">
        <f t="shared" si="17"/>
        <v>Distribution</v>
      </c>
      <c r="C147" t="s">
        <v>11</v>
      </c>
      <c r="D147" s="108">
        <f>IF(LEFT($A$144,5)="blank",0,D70/'Input Global'!D$22)</f>
        <v>0</v>
      </c>
      <c r="E147" s="108">
        <f>IF(LEFT($A$144,5)="blank",0,E70/'Input Global'!E$22)</f>
        <v>9.8414227231675628</v>
      </c>
      <c r="F147" s="108">
        <f>IF(LEFT($A$144,5)="blank",0,F70/'Input Global'!F$22)</f>
        <v>10.825812367061719</v>
      </c>
      <c r="G147" s="108">
        <f>IF(LEFT($A$144,5)="blank",0,G70/'Input Global'!G$22)</f>
        <v>11.712147400082355</v>
      </c>
      <c r="H147" s="108">
        <f>IF(LEFT($A$144,5)="blank",0,H70/'Input Global'!H$22)</f>
        <v>12.348140869279707</v>
      </c>
    </row>
    <row r="148" spans="1:8" ht="15" x14ac:dyDescent="0.25">
      <c r="A148" s="158"/>
      <c r="B148" s="158"/>
      <c r="C148" s="158"/>
      <c r="D148" s="158"/>
      <c r="E148" s="158"/>
      <c r="F148" s="158"/>
      <c r="G148" s="158"/>
      <c r="H148" s="158"/>
    </row>
    <row r="149" spans="1:8" x14ac:dyDescent="0.3">
      <c r="A149" t="str">
        <f t="shared" si="17"/>
        <v>Retail and Wholesale</v>
      </c>
      <c r="C149" t="s">
        <v>11</v>
      </c>
      <c r="D149" s="108">
        <f ca="1">IF(LEFT($A$144,5)="blank",0,D72/'Input Global'!D$22)</f>
        <v>7.8082776975079664</v>
      </c>
      <c r="E149" s="108">
        <f ca="1">IF(LEFT($A$144,5)="blank",0,E72/'Input Global'!E$22)</f>
        <v>16.878563098428042</v>
      </c>
      <c r="F149" s="108">
        <f ca="1">IF(LEFT($A$144,5)="blank",0,F72/'Input Global'!F$22)</f>
        <v>17.226157849417046</v>
      </c>
      <c r="G149" s="108">
        <f ca="1">IF(LEFT($A$144,5)="blank",0,G72/'Input Global'!G$22)</f>
        <v>16.145171580071384</v>
      </c>
      <c r="H149" s="108">
        <f ca="1">IF(LEFT($A$144,5)="blank",0,H72/'Input Global'!H$22)</f>
        <v>17.460485686804585</v>
      </c>
    </row>
    <row r="150" spans="1:8" x14ac:dyDescent="0.3">
      <c r="A150" t="str">
        <f t="shared" si="17"/>
        <v>Green Schemes</v>
      </c>
      <c r="C150" t="s">
        <v>11</v>
      </c>
      <c r="D150" s="103"/>
      <c r="E150" s="103"/>
      <c r="F150" s="103"/>
      <c r="G150" s="103"/>
      <c r="H150" s="103"/>
    </row>
    <row r="151" spans="1:8" x14ac:dyDescent="0.3">
      <c r="A151" s="11" t="str">
        <f t="shared" si="17"/>
        <v>Feed-in Tariffs</v>
      </c>
      <c r="C151" t="s">
        <v>11</v>
      </c>
      <c r="D151" s="108">
        <f>IF(LEFT($A$144,5)="blank",0,D74/'Input Global'!D$22)</f>
        <v>0</v>
      </c>
      <c r="E151" s="108">
        <f>IF(LEFT($A$144,5)="blank",0,E74/'Input Global'!E$22)</f>
        <v>4.9000000000000002E-2</v>
      </c>
      <c r="F151" s="108">
        <f>IF(LEFT($A$144,5)="blank",0,F74/'Input Global'!F$22)</f>
        <v>5.0224999999999999E-2</v>
      </c>
      <c r="G151" s="108">
        <f>IF(LEFT($A$144,5)="blank",0,G74/'Input Global'!G$22)</f>
        <v>5.1480624999999988E-2</v>
      </c>
      <c r="H151" s="108">
        <f>IF(LEFT($A$144,5)="blank",0,H74/'Input Global'!H$22)</f>
        <v>5.276764062499998E-2</v>
      </c>
    </row>
    <row r="152" spans="1:8" x14ac:dyDescent="0.3">
      <c r="A152" s="11" t="str">
        <f t="shared" si="17"/>
        <v>Carbon costs</v>
      </c>
      <c r="C152" t="s">
        <v>11</v>
      </c>
      <c r="D152" s="108">
        <f ca="1">IF(LEFT($A$144,5)="blank",0,D75/'Input Global'!D$22)</f>
        <v>0</v>
      </c>
      <c r="E152" s="108">
        <f ca="1">IF(LEFT($A$144,5)="blank",0,E75/'Input Global'!E$22)</f>
        <v>0</v>
      </c>
      <c r="F152" s="108">
        <f ca="1">IF(LEFT($A$144,5)="blank",0,F75/'Input Global'!F$22)</f>
        <v>2.2400000000000002</v>
      </c>
      <c r="G152" s="108">
        <f ca="1">IF(LEFT($A$144,5)="blank",0,G75/'Input Global'!G$22)</f>
        <v>2.7425616954920162</v>
      </c>
      <c r="H152" s="108">
        <f ca="1">IF(LEFT($A$144,5)="blank",0,H75/'Input Global'!H$22)</f>
        <v>2.9078090526541835</v>
      </c>
    </row>
    <row r="153" spans="1:8" x14ac:dyDescent="0.3">
      <c r="A153" s="11" t="str">
        <f t="shared" si="17"/>
        <v>Large Scale Renewable Energy Target</v>
      </c>
      <c r="C153" t="s">
        <v>11</v>
      </c>
      <c r="D153" s="108">
        <f ca="1">IF(LEFT($A$144,5)="blank",0,D76/'Input Global'!D$22)</f>
        <v>0.25473754178777863</v>
      </c>
      <c r="E153" s="108">
        <f ca="1">IF(LEFT($A$144,5)="blank",0,E76/'Input Global'!E$22)</f>
        <v>0.44267417909205159</v>
      </c>
      <c r="F153" s="108">
        <f ca="1">IF(LEFT($A$144,5)="blank",0,F76/'Input Global'!F$22)</f>
        <v>0.6628193665535661</v>
      </c>
      <c r="G153" s="108">
        <f ca="1">IF(LEFT($A$144,5)="blank",0,G76/'Input Global'!G$22)</f>
        <v>0.71024842650382625</v>
      </c>
      <c r="H153" s="108">
        <f ca="1">IF(LEFT($A$144,5)="blank",0,H76/'Input Global'!H$22)</f>
        <v>0.75212223266646072</v>
      </c>
    </row>
    <row r="154" spans="1:8" x14ac:dyDescent="0.3">
      <c r="A154" s="11" t="str">
        <f t="shared" si="17"/>
        <v>Small Scale Renewable Energy Scheme</v>
      </c>
      <c r="C154" t="s">
        <v>11</v>
      </c>
      <c r="D154" s="108">
        <f ca="1">IF(LEFT($A$144,5)="blank",0,D77/'Input Global'!D$22)</f>
        <v>0.43999227350852893</v>
      </c>
      <c r="E154" s="108">
        <f ca="1">IF(LEFT($A$144,5)="blank",0,E77/'Input Global'!E$22)</f>
        <v>0.52897443353026441</v>
      </c>
      <c r="F154" s="108">
        <f ca="1">IF(LEFT($A$144,5)="blank",0,F77/'Input Global'!F$22)</f>
        <v>0.2881821035194338</v>
      </c>
      <c r="G154" s="108">
        <f ca="1">IF(LEFT($A$144,5)="blank",0,G77/'Input Global'!G$22)</f>
        <v>0.12683626123551256</v>
      </c>
      <c r="H154" s="108">
        <f ca="1">IF(LEFT($A$144,5)="blank",0,H77/'Input Global'!H$22)</f>
        <v>0.11021384523313771</v>
      </c>
    </row>
    <row r="155" spans="1:8" x14ac:dyDescent="0.3">
      <c r="A155" s="11" t="str">
        <f t="shared" si="17"/>
        <v>Energy Saver Incentive</v>
      </c>
      <c r="C155" t="s">
        <v>11</v>
      </c>
      <c r="D155" s="108">
        <f ca="1">IF(LEFT($A$144,5)="blank",0,D78/'Input Global'!D$22)</f>
        <v>0.39</v>
      </c>
      <c r="E155" s="108">
        <f ca="1">IF(LEFT($A$144,5)="blank",0,E78/'Input Global'!E$22)</f>
        <v>0.39</v>
      </c>
      <c r="F155" s="108">
        <f ca="1">IF(LEFT($A$144,5)="blank",0,F78/'Input Global'!F$22)</f>
        <v>0.38</v>
      </c>
      <c r="G155" s="108">
        <f ca="1">IF(LEFT($A$144,5)="blank",0,G78/'Input Global'!G$22)</f>
        <v>0.38</v>
      </c>
      <c r="H155" s="108">
        <f ca="1">IF(LEFT($A$144,5)="blank",0,H78/'Input Global'!H$22)</f>
        <v>0.38</v>
      </c>
    </row>
    <row r="156" spans="1:8" x14ac:dyDescent="0.3">
      <c r="A156" s="11" t="str">
        <f t="shared" si="17"/>
        <v>blank</v>
      </c>
      <c r="C156" t="s">
        <v>11</v>
      </c>
      <c r="D156" s="108">
        <f ca="1">IF(LEFT($A$144,5)="blank",0,D79/'Input Global'!D$22)</f>
        <v>0</v>
      </c>
      <c r="E156" s="108">
        <f ca="1">IF(LEFT($A$144,5)="blank",0,E79/'Input Global'!E$22)</f>
        <v>0</v>
      </c>
      <c r="F156" s="108">
        <f ca="1">IF(LEFT($A$144,5)="blank",0,F79/'Input Global'!F$22)</f>
        <v>0</v>
      </c>
      <c r="G156" s="108">
        <f ca="1">IF(LEFT($A$144,5)="blank",0,G79/'Input Global'!G$22)</f>
        <v>0</v>
      </c>
      <c r="H156" s="108">
        <f ca="1">IF(LEFT($A$144,5)="blank",0,H79/'Input Global'!H$22)</f>
        <v>0</v>
      </c>
    </row>
    <row r="157" spans="1:8" x14ac:dyDescent="0.3">
      <c r="A157" s="12" t="s">
        <v>53</v>
      </c>
      <c r="B157" s="12"/>
      <c r="C157" s="12" t="s">
        <v>11</v>
      </c>
      <c r="D157" s="108">
        <f ca="1">SUM(D145:D156)</f>
        <v>8.8930075128042745</v>
      </c>
      <c r="E157" s="108">
        <f t="shared" ref="E157:H157" ca="1" si="18">SUM(E145:E156)</f>
        <v>29.134662947721633</v>
      </c>
      <c r="F157" s="108">
        <f t="shared" ca="1" si="18"/>
        <v>32.699999999999974</v>
      </c>
      <c r="G157" s="108">
        <f t="shared" ca="1" si="18"/>
        <v>32.918835459418702</v>
      </c>
      <c r="H157" s="108">
        <f t="shared" ca="1" si="18"/>
        <v>35.085620813305027</v>
      </c>
    </row>
    <row r="159" spans="1:8" ht="18.75" x14ac:dyDescent="0.3">
      <c r="A159" s="1" t="s">
        <v>66</v>
      </c>
    </row>
    <row r="160" spans="1:8" x14ac:dyDescent="0.3">
      <c r="A160" t="str">
        <f>Dist1</f>
        <v>Citipower</v>
      </c>
      <c r="B160" t="s">
        <v>36</v>
      </c>
      <c r="C160" t="s">
        <v>22</v>
      </c>
      <c r="D160" s="109">
        <f>'Input Global'!D25/'Input Global'!D$30</f>
        <v>0.10272024643169531</v>
      </c>
      <c r="E160" s="109">
        <f>'Input Global'!E25/'Input Global'!E$30</f>
        <v>0.10247739049784825</v>
      </c>
      <c r="F160" s="109">
        <f>'Input Global'!F25/'Input Global'!F$30</f>
        <v>0.10188672972259502</v>
      </c>
      <c r="G160" s="109">
        <f>'Input Global'!G25/'Input Global'!G$30</f>
        <v>0.1012396121372746</v>
      </c>
      <c r="H160" s="109">
        <f>'Input Global'!H25/'Input Global'!H$30</f>
        <v>0.10090806788173845</v>
      </c>
    </row>
    <row r="161" spans="1:8" x14ac:dyDescent="0.3">
      <c r="A161" t="str">
        <f>Dist2</f>
        <v>Powercor</v>
      </c>
      <c r="B161" t="s">
        <v>36</v>
      </c>
      <c r="C161" t="s">
        <v>22</v>
      </c>
      <c r="D161" s="109">
        <f>'Input Global'!D26/'Input Global'!D$30</f>
        <v>0.26528704439176137</v>
      </c>
      <c r="E161" s="109">
        <f>'Input Global'!E26/'Input Global'!E$30</f>
        <v>0.26688783896508689</v>
      </c>
      <c r="F161" s="109">
        <f>'Input Global'!F26/'Input Global'!F$30</f>
        <v>0.26867554005988326</v>
      </c>
      <c r="G161" s="109">
        <f>'Input Global'!G26/'Input Global'!G$30</f>
        <v>0.27068858433367066</v>
      </c>
      <c r="H161" s="109">
        <f>'Input Global'!H26/'Input Global'!H$30</f>
        <v>0.27257402811011694</v>
      </c>
    </row>
    <row r="162" spans="1:8" x14ac:dyDescent="0.3">
      <c r="A162" t="str">
        <f>Dist3</f>
        <v>SP Ausnet</v>
      </c>
      <c r="B162" t="s">
        <v>36</v>
      </c>
      <c r="C162" t="s">
        <v>22</v>
      </c>
      <c r="D162" s="109">
        <f>'Input Global'!D27/'Input Global'!D$30</f>
        <v>0.21743277923006957</v>
      </c>
      <c r="E162" s="109">
        <f>'Input Global'!E27/'Input Global'!E$30</f>
        <v>0.21875450325303131</v>
      </c>
      <c r="F162" s="109">
        <f>'Input Global'!F27/'Input Global'!F$30</f>
        <v>0.22016442193759983</v>
      </c>
      <c r="G162" s="109">
        <f>'Input Global'!G27/'Input Global'!G$30</f>
        <v>0.22133700993839256</v>
      </c>
      <c r="H162" s="109">
        <f>'Input Global'!H27/'Input Global'!H$30</f>
        <v>0.22232137015211889</v>
      </c>
    </row>
    <row r="163" spans="1:8" x14ac:dyDescent="0.3">
      <c r="A163" t="str">
        <f>Dist4</f>
        <v>United</v>
      </c>
      <c r="B163" t="s">
        <v>36</v>
      </c>
      <c r="C163" t="s">
        <v>22</v>
      </c>
      <c r="D163" s="109">
        <f>'Input Global'!D28/'Input Global'!D$30</f>
        <v>0.27803821300861098</v>
      </c>
      <c r="E163" s="109">
        <f>'Input Global'!E28/'Input Global'!E$30</f>
        <v>0.27579462361978679</v>
      </c>
      <c r="F163" s="109">
        <f>'Input Global'!F28/'Input Global'!F$30</f>
        <v>0.27366096205609564</v>
      </c>
      <c r="G163" s="109">
        <f>'Input Global'!G28/'Input Global'!G$30</f>
        <v>0.27165615253712266</v>
      </c>
      <c r="H163" s="109">
        <f>'Input Global'!H28/'Input Global'!H$30</f>
        <v>0.26967117275357122</v>
      </c>
    </row>
    <row r="164" spans="1:8" x14ac:dyDescent="0.3">
      <c r="A164" t="str">
        <f>Dist5</f>
        <v>Jemena</v>
      </c>
      <c r="B164" t="s">
        <v>36</v>
      </c>
      <c r="C164" t="s">
        <v>22</v>
      </c>
      <c r="D164" s="109">
        <f>'Input Global'!D29/'Input Global'!D$30</f>
        <v>0.13652171693786272</v>
      </c>
      <c r="E164" s="109">
        <f>'Input Global'!E29/'Input Global'!E$30</f>
        <v>0.13608564366424677</v>
      </c>
      <c r="F164" s="109">
        <f>'Input Global'!F29/'Input Global'!F$30</f>
        <v>0.1356123462238262</v>
      </c>
      <c r="G164" s="109">
        <f>'Input Global'!G29/'Input Global'!G$30</f>
        <v>0.13507864105353951</v>
      </c>
      <c r="H164" s="109">
        <f>'Input Global'!H29/'Input Global'!H$30</f>
        <v>0.13452536110245453</v>
      </c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6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164"/>
  <sheetViews>
    <sheetView zoomScaleNormal="100" workbookViewId="0">
      <pane xSplit="3" ySplit="4" topLeftCell="D5" activePane="bottomRight" state="frozenSplit"/>
      <selection activeCell="K17" sqref="K17"/>
      <selection pane="topRight" activeCell="K17" sqref="K17"/>
      <selection pane="bottomLeft" activeCell="K17" sqref="K17"/>
      <selection pane="bottomRight" activeCell="I22" sqref="I22"/>
    </sheetView>
  </sheetViews>
  <sheetFormatPr defaultRowHeight="16.5" x14ac:dyDescent="0.3"/>
  <cols>
    <col min="1" max="1" width="20.28515625" bestFit="1" customWidth="1"/>
    <col min="2" max="2" width="14.140625" customWidth="1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.7109375" bestFit="1" customWidth="1"/>
    <col min="15" max="15" width="10.5703125" bestFit="1" customWidth="1"/>
  </cols>
  <sheetData>
    <row r="1" spans="1:16" s="2" customFormat="1" ht="23.25" x14ac:dyDescent="0.35">
      <c r="A1" s="2" t="s">
        <v>1</v>
      </c>
      <c r="B1" s="7" t="str">
        <f ca="1">'Input Global'!B1</f>
        <v>2012 Pricing Trends - model - Vic</v>
      </c>
      <c r="C1" s="5"/>
      <c r="D1" s="99"/>
      <c r="E1" s="99"/>
      <c r="F1" s="99"/>
      <c r="G1" s="98"/>
      <c r="H1" s="98"/>
      <c r="I1" s="79" t="s">
        <v>30</v>
      </c>
    </row>
    <row r="2" spans="1:16" s="2" customFormat="1" ht="19.5" thickBot="1" x14ac:dyDescent="0.35">
      <c r="B2" s="4" t="str">
        <f ca="1">RIGHT(CELL("filename",B2),LEN(CELL("filename",B2))-SEARCH("]",CELL("filename",B2)))</f>
        <v>Calc (Market Slow Rate)</v>
      </c>
      <c r="C2" s="3"/>
      <c r="D2" s="100"/>
      <c r="E2" s="100"/>
      <c r="F2" s="100"/>
      <c r="G2" s="98"/>
      <c r="H2" s="98"/>
      <c r="I2" s="85" t="s">
        <v>24</v>
      </c>
    </row>
    <row r="3" spans="1:16" s="2" customFormat="1" ht="17.25" thickBot="1" x14ac:dyDescent="0.35">
      <c r="D3" s="98"/>
      <c r="E3" s="98"/>
      <c r="F3" s="98"/>
      <c r="G3" s="98"/>
      <c r="H3" s="98"/>
      <c r="I3" s="86" t="s">
        <v>31</v>
      </c>
    </row>
    <row r="4" spans="1:16" s="2" customFormat="1" ht="15" x14ac:dyDescent="0.25">
      <c r="B4" s="6"/>
      <c r="C4" s="6" t="s">
        <v>8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" t="s">
        <v>37</v>
      </c>
      <c r="B6" s="1" t="s">
        <v>41</v>
      </c>
    </row>
    <row r="7" spans="1:16" x14ac:dyDescent="0.3">
      <c r="A7" s="8" t="str">
        <f>Dist1</f>
        <v>Citipower</v>
      </c>
    </row>
    <row r="8" spans="1:16" ht="15" x14ac:dyDescent="0.25">
      <c r="A8" s="158"/>
      <c r="B8" s="158"/>
      <c r="C8" s="158"/>
      <c r="D8" s="158"/>
      <c r="E8" s="158"/>
      <c r="F8" s="158"/>
      <c r="G8" s="158"/>
      <c r="H8" s="158"/>
      <c r="K8" s="158"/>
      <c r="L8" s="158"/>
      <c r="M8" s="158"/>
      <c r="N8" s="158"/>
      <c r="O8" s="158"/>
    </row>
    <row r="9" spans="1:16" x14ac:dyDescent="0.3">
      <c r="A9" t="str">
        <f>'Calc (Jurisdiction)'!A9</f>
        <v>Transmission</v>
      </c>
      <c r="C9" t="s">
        <v>55</v>
      </c>
      <c r="D9" s="108">
        <f>'Input General'!D8+(SUMPRODUCT('Input General'!D9:D12,'Input General'!D111:D114)*'Input Global'!D18)</f>
        <v>0</v>
      </c>
      <c r="E9" s="108">
        <f>'Input General'!E8+(SUMPRODUCT('Input General'!E9:E12,'Input General'!E111:E114)*'Input Global'!E18)</f>
        <v>4694.603625148784</v>
      </c>
      <c r="F9" s="108">
        <f>'Input General'!F8+(SUMPRODUCT('Input General'!F9:F12,'Input General'!F111:F114)*'Input Global'!F18)</f>
        <v>4697.2238014486502</v>
      </c>
      <c r="G9" s="108">
        <f>'Input General'!G8+(SUMPRODUCT('Input General'!G9:G12,'Input General'!G111:G114)*'Input Global'!G18)</f>
        <v>4685.8090720490854</v>
      </c>
      <c r="H9" s="108">
        <f>'Input General'!H8+(SUMPRODUCT('Input General'!H9:H12,'Input General'!H111:H114)*'Input Global'!H18)</f>
        <v>4700.0585595945067</v>
      </c>
    </row>
    <row r="10" spans="1:16" x14ac:dyDescent="0.3">
      <c r="A10" t="str">
        <f>'Calc (Jurisdiction)'!A10</f>
        <v>Distribution</v>
      </c>
      <c r="C10" t="s">
        <v>55</v>
      </c>
      <c r="D10" s="108">
        <f>'Input General'!D40+SUMPRODUCT('Input General'!D41:D44,'Input General'!D111:D114)*'Input Global'!D18+'Input General'!D71</f>
        <v>0</v>
      </c>
      <c r="E10" s="108">
        <f>'Input General'!E40+SUMPRODUCT('Input General'!E41:E44,'Input General'!E111:E114)*'Input Global'!E18+'Input General'!E71</f>
        <v>32059.456764202627</v>
      </c>
      <c r="F10" s="108">
        <f>'Input General'!F40+SUMPRODUCT('Input General'!F41:F44,'Input General'!F111:F114)*'Input Global'!F18+'Input General'!F71</f>
        <v>35159.618836465401</v>
      </c>
      <c r="G10" s="108">
        <f>'Input General'!G40+SUMPRODUCT('Input General'!G41:G44,'Input General'!G111:G114)*'Input Global'!G18+'Input General'!G71</f>
        <v>39043.377165682046</v>
      </c>
      <c r="H10" s="108">
        <f>'Input General'!H40+SUMPRODUCT('Input General'!H41:H44,'Input General'!H111:H114)*'Input Global'!H18+'Input General'!H71</f>
        <v>43196.416979369867</v>
      </c>
      <c r="P10" s="9"/>
    </row>
    <row r="11" spans="1:16" ht="15" x14ac:dyDescent="0.25">
      <c r="A11" s="158"/>
      <c r="B11" s="158"/>
      <c r="C11" s="158"/>
      <c r="D11" s="158"/>
      <c r="E11" s="158"/>
      <c r="F11" s="158"/>
      <c r="G11" s="158"/>
      <c r="H11" s="158"/>
      <c r="K11" s="14"/>
      <c r="M11" s="13"/>
      <c r="O11" s="9"/>
      <c r="P11" s="9"/>
    </row>
    <row r="12" spans="1:16" x14ac:dyDescent="0.3">
      <c r="A12" t="str">
        <f>'Calc (Jurisdiction)'!A12</f>
        <v>Retail and Wholesale</v>
      </c>
      <c r="C12" t="s">
        <v>55</v>
      </c>
      <c r="D12" s="108">
        <f ca="1">VLOOKUP($B$2,'Input General'!$A$223:$H$227,COLUMN(D12),FALSE)*'Input Global'!D33+VLOOKUP($B$2,dist1wholesale,COLUMN('Calc (Jurisdiction)'!D8),FALSE)*'Input Global'!D18</f>
        <v>30197.211168410773</v>
      </c>
      <c r="E12" s="108">
        <f ca="1">VLOOKUP($B$2,'Input General'!$A$223:$H$227,COLUMN(E12),FALSE)*'Input Global'!E33+VLOOKUP($B$2,dist1wholesale,COLUMN('Calc (Jurisdiction)'!E8),FALSE)*'Input Global'!E18</f>
        <v>84698.965685383737</v>
      </c>
      <c r="F12" s="108">
        <f ca="1">VLOOKUP($B$2,'Input General'!$A$223:$H$227,COLUMN(F12),FALSE)*'Input Global'!F33+VLOOKUP($B$2,dist1wholesale,COLUMN('Calc (Jurisdiction)'!F8),FALSE)*'Input Global'!F18</f>
        <v>77515.170863852618</v>
      </c>
      <c r="G12" s="108">
        <f ca="1">VLOOKUP($B$2,'Input General'!$A$223:$H$227,COLUMN(G12),FALSE)*'Input Global'!G33+VLOOKUP($B$2,dist1wholesale,COLUMN('Calc (Jurisdiction)'!G8),FALSE)*'Input Global'!G18</f>
        <v>77280.662852681358</v>
      </c>
      <c r="H12" s="108">
        <f ca="1">VLOOKUP($B$2,'Input General'!$A$223:$H$227,COLUMN(H12),FALSE)*'Input Global'!H33+VLOOKUP($B$2,dist1wholesale,COLUMN('Calc (Jurisdiction)'!H8),FALSE)*'Input Global'!H18</f>
        <v>75708.280355141585</v>
      </c>
      <c r="K12" s="14"/>
      <c r="M12" s="13"/>
      <c r="O12" s="9"/>
      <c r="P12" s="9"/>
    </row>
    <row r="13" spans="1:16" x14ac:dyDescent="0.3">
      <c r="A13" t="str">
        <f>'Calc (Jurisdiction)'!A13</f>
        <v>Green Schemes</v>
      </c>
      <c r="D13" s="103"/>
      <c r="E13" s="103"/>
      <c r="F13" s="103"/>
      <c r="G13" s="103"/>
      <c r="H13" s="103"/>
      <c r="K13" s="14"/>
      <c r="M13" s="13"/>
      <c r="O13" s="9"/>
      <c r="P13" s="9"/>
    </row>
    <row r="14" spans="1:16" x14ac:dyDescent="0.3">
      <c r="A14" s="11" t="str">
        <f>'Calc (Jurisdiction)'!A14</f>
        <v>Feed-in Tariffs</v>
      </c>
      <c r="C14" t="s">
        <v>55</v>
      </c>
      <c r="D14" s="108">
        <f>'Input General'!D79+SUMPRODUCT('Input General'!D80:D83,'Input General'!D111:D114)*'Input Global'!D18</f>
        <v>0</v>
      </c>
      <c r="E14" s="108">
        <f>'Input General'!E79+SUMPRODUCT('Input General'!E80:E83,'Input General'!E111:E114)*'Input Global'!E18</f>
        <v>295.08339548072445</v>
      </c>
      <c r="F14" s="108">
        <f>'Input General'!F79+SUMPRODUCT('Input General'!F80:F83,'Input General'!F111:F114)*'Input Global'!F18</f>
        <v>299.07247235506139</v>
      </c>
      <c r="G14" s="108">
        <f>'Input General'!G79+SUMPRODUCT('Input General'!G80:G83,'Input General'!G111:G114)*'Input Global'!G18</f>
        <v>302.65024259572192</v>
      </c>
      <c r="H14" s="108">
        <f>'Input General'!H79+SUMPRODUCT('Input General'!H80:H83,'Input General'!H111:H114)*'Input Global'!H18</f>
        <v>307.22142213400855</v>
      </c>
    </row>
    <row r="15" spans="1:16" x14ac:dyDescent="0.3">
      <c r="A15" s="11" t="str">
        <f>'Calc (Jurisdiction)'!A15</f>
        <v>Carbon costs</v>
      </c>
      <c r="C15" t="s">
        <v>55</v>
      </c>
      <c r="D15" s="108">
        <f ca="1">VLOOKUP($B$2,'Input General'!$A$256:$H$260, COLUMN('Input General'!D256),FALSE)*'Input Global'!D$18</f>
        <v>0</v>
      </c>
      <c r="E15" s="108">
        <f ca="1">VLOOKUP($B$2,'Input General'!$A$256:$H$260, COLUMN('Input General'!E256),FALSE)*'Input Global'!E$18</f>
        <v>0</v>
      </c>
      <c r="F15" s="108">
        <f ca="1">VLOOKUP($B$2,'Input General'!$A$256:$H$260, COLUMN('Input General'!F256),FALSE)*'Input Global'!F$18</f>
        <v>10244.597444220091</v>
      </c>
      <c r="G15" s="108">
        <f ca="1">VLOOKUP($B$2,'Input General'!$A$256:$H$260, COLUMN('Input General'!G256),FALSE)*'Input Global'!G$18</f>
        <v>11829.467135292229</v>
      </c>
      <c r="H15" s="108">
        <f ca="1">VLOOKUP($B$2,'Input General'!$A$256:$H$260, COLUMN('Input General'!H256),FALSE)*'Input Global'!H$18</f>
        <v>10876.361969933854</v>
      </c>
      <c r="I15" s="10"/>
    </row>
    <row r="16" spans="1:16" x14ac:dyDescent="0.3">
      <c r="A16" s="11" t="str">
        <f>'Calc (Jurisdiction)'!A16</f>
        <v>Large Scale Renewable Energy Target</v>
      </c>
      <c r="C16" t="s">
        <v>55</v>
      </c>
      <c r="D16" s="108">
        <f ca="1">VLOOKUP($B$2,'Input General'!$A319:$H324,COLUMN(D16),FALSE)*'Input Global'!D18</f>
        <v>1207.2319490745772</v>
      </c>
      <c r="E16" s="108">
        <f ca="1">VLOOKUP($B$2,'Input General'!$A319:$H324,COLUMN(E16),FALSE)*'Input Global'!E18</f>
        <v>2070.6471001134769</v>
      </c>
      <c r="F16" s="108">
        <f ca="1">VLOOKUP($B$2,'Input General'!$A319:$H324,COLUMN(F16),FALSE)*'Input Global'!F18</f>
        <v>3031.3917806135009</v>
      </c>
      <c r="G16" s="108">
        <f ca="1">VLOOKUP($B$2,'Input General'!$A319:$H324,COLUMN(G16),FALSE)*'Input Global'!G18</f>
        <v>3165.2889523550025</v>
      </c>
      <c r="H16" s="108">
        <f ca="1">VLOOKUP($B$2,'Input General'!$A319:$H324,COLUMN(H16),FALSE)*'Input Global'!H18</f>
        <v>3286.0188503971226</v>
      </c>
      <c r="I16" s="10"/>
    </row>
    <row r="17" spans="1:14" x14ac:dyDescent="0.3">
      <c r="A17" s="11" t="str">
        <f>'Calc (Jurisdiction)'!A17</f>
        <v>Small Scale Renewable Energy Scheme</v>
      </c>
      <c r="C17" t="s">
        <v>55</v>
      </c>
      <c r="D17" s="108">
        <f ca="1">'Input General'!D139*'Input Global'!D18</f>
        <v>2085.1764769245315</v>
      </c>
      <c r="E17" s="108">
        <f ca="1">'Input General'!E139*'Input Global'!E18</f>
        <v>2474.3240707424361</v>
      </c>
      <c r="F17" s="108">
        <f ca="1">'Input General'!F139*'Input Global'!F18</f>
        <v>1317.9953755290896</v>
      </c>
      <c r="G17" s="108">
        <f ca="1">'Input General'!G139*'Input Global'!G18</f>
        <v>565.2577144681353</v>
      </c>
      <c r="H17" s="108">
        <f ca="1">'Input General'!H139*'Input Global'!H18</f>
        <v>481.5238788754375</v>
      </c>
      <c r="I17" s="10"/>
    </row>
    <row r="18" spans="1:14" x14ac:dyDescent="0.3">
      <c r="A18" s="11" t="str">
        <f>'Calc (Jurisdiction)'!A18</f>
        <v>Energy Saver Incentive</v>
      </c>
      <c r="C18" t="s">
        <v>55</v>
      </c>
      <c r="D18" s="108">
        <f ca="1">VLOOKUP($B$2,'Input General'!$A$159:$H$163,COLUMN(D18),FALSE)*'Input Global'!D$18</f>
        <v>1848.2570603249551</v>
      </c>
      <c r="E18" s="108">
        <f ca="1">VLOOKUP($B$2,'Input General'!$A$159:$H$163,COLUMN(E18),FALSE)*'Input Global'!E$18</f>
        <v>1824.2590311018121</v>
      </c>
      <c r="F18" s="108">
        <f ca="1">VLOOKUP($B$2,'Input General'!$A$159:$H$163,COLUMN(F18),FALSE)*'Input Global'!F$18</f>
        <v>1737.9227807159082</v>
      </c>
      <c r="G18" s="108">
        <f ca="1">VLOOKUP($B$2,'Input General'!$A$159:$H$163,COLUMN(G18),FALSE)*'Input Global'!G$18</f>
        <v>1693.5057010159676</v>
      </c>
      <c r="H18" s="108">
        <f ca="1">VLOOKUP($B$2,'Input General'!$A$159:$H$163,COLUMN(H18),FALSE)*'Input Global'!H$18</f>
        <v>1660.2185831154577</v>
      </c>
      <c r="I18" s="10"/>
    </row>
    <row r="19" spans="1:14" x14ac:dyDescent="0.3">
      <c r="A19" s="11" t="str">
        <f>'Calc (Jurisdiction)'!A19</f>
        <v>blank</v>
      </c>
      <c r="C19" t="s">
        <v>55</v>
      </c>
      <c r="D19" s="108">
        <f ca="1">VLOOKUP($B$2,'Input General'!$A$191:$H$195,COLUMN(D19),FALSE)*'Input Global'!D$18</f>
        <v>0</v>
      </c>
      <c r="E19" s="108">
        <f ca="1">VLOOKUP($B$2,'Input General'!$A$191:$H$195,COLUMN(E19),FALSE)*'Input Global'!E$18</f>
        <v>0</v>
      </c>
      <c r="F19" s="108">
        <f ca="1">VLOOKUP($B$2,'Input General'!$A$191:$H$195,COLUMN(F19),FALSE)*'Input Global'!F$18</f>
        <v>0</v>
      </c>
      <c r="G19" s="108">
        <f ca="1">VLOOKUP($B$2,'Input General'!$A$191:$H$195,COLUMN(G19),FALSE)*'Input Global'!G$18</f>
        <v>0</v>
      </c>
      <c r="H19" s="108">
        <f ca="1">VLOOKUP($B$2,'Input General'!$A$191:$H$195,COLUMN(H19),FALSE)*'Input Global'!H$18</f>
        <v>0</v>
      </c>
      <c r="I19" s="10"/>
    </row>
    <row r="20" spans="1:14" x14ac:dyDescent="0.3">
      <c r="A20" s="15" t="s">
        <v>53</v>
      </c>
      <c r="B20" s="12"/>
      <c r="C20" s="12" t="s">
        <v>55</v>
      </c>
      <c r="D20" s="108">
        <f ca="1">SUM(D8:D19)</f>
        <v>35337.876654734835</v>
      </c>
      <c r="E20" s="108">
        <f ca="1">SUM(E8:E19)</f>
        <v>128117.33967217362</v>
      </c>
      <c r="F20" s="108">
        <f ca="1">SUM(F8:F19)</f>
        <v>134002.99335520033</v>
      </c>
      <c r="G20" s="108">
        <f ca="1">SUM(G8:G19)</f>
        <v>138566.01883613956</v>
      </c>
      <c r="H20" s="108">
        <f ca="1">SUM(H8:H19)</f>
        <v>140216.10059856187</v>
      </c>
    </row>
    <row r="21" spans="1:14" x14ac:dyDescent="0.3">
      <c r="D21" s="102"/>
    </row>
    <row r="22" spans="1:14" x14ac:dyDescent="0.3">
      <c r="A22" s="8" t="str">
        <f>Dist2</f>
        <v>Powercor</v>
      </c>
    </row>
    <row r="23" spans="1:14" ht="15" x14ac:dyDescent="0.25">
      <c r="A23" s="158"/>
      <c r="B23" s="158"/>
      <c r="C23" s="158"/>
      <c r="D23" s="158"/>
      <c r="E23" s="158"/>
      <c r="F23" s="158"/>
      <c r="G23" s="158"/>
      <c r="H23" s="158"/>
      <c r="J23" s="158"/>
      <c r="K23" s="158"/>
      <c r="L23" s="158"/>
      <c r="M23" s="158"/>
      <c r="N23" s="158"/>
    </row>
    <row r="24" spans="1:14" x14ac:dyDescent="0.3">
      <c r="A24" t="str">
        <f t="shared" ref="A24:A34" si="0">A9</f>
        <v>Transmission</v>
      </c>
      <c r="C24" t="s">
        <v>55</v>
      </c>
      <c r="D24" s="108">
        <f>IF(LEFT($A$22,5)="blank",0,'Input General'!D14+(SUMPRODUCT('Input General'!D15:D18,'Input General'!D116:D119)*'Input Global'!D19))</f>
        <v>0</v>
      </c>
      <c r="E24" s="108">
        <f>IF(LEFT($A$22,5)="blank",0,'Input General'!E14+(SUMPRODUCT('Input General'!E15:E18,'Input General'!E116:E119)*'Input Global'!E19))</f>
        <v>6202.9723446853313</v>
      </c>
      <c r="F24" s="108">
        <f>IF(LEFT($A$22,5)="blank",0,'Input General'!F14+(SUMPRODUCT('Input General'!F15:F18,'Input General'!F116:F119)*'Input Global'!F19))</f>
        <v>6218.6626950420305</v>
      </c>
      <c r="G24" s="108">
        <f>IF(LEFT($A$22,5)="blank",0,'Input General'!G14+(SUMPRODUCT('Input General'!G15:G18,'Input General'!G116:G119)*'Input Global'!G19))</f>
        <v>6217.8565908331775</v>
      </c>
      <c r="H24" s="108">
        <f>IF(LEFT($A$22,5)="blank",0,'Input General'!H14+(SUMPRODUCT('Input General'!H15:H18,'Input General'!H116:H119)*'Input Global'!H19))</f>
        <v>6247.9696549581267</v>
      </c>
    </row>
    <row r="25" spans="1:14" x14ac:dyDescent="0.3">
      <c r="A25" t="str">
        <f t="shared" si="0"/>
        <v>Distribution</v>
      </c>
      <c r="C25" t="s">
        <v>55</v>
      </c>
      <c r="D25" s="108">
        <f>IF(LEFT($A$22,5)="blank",0,'Input General'!D46+SUMPRODUCT('Input General'!D47:D50,'Input General'!D116:D119)*'Input Global'!D19+'Input General'!D72)</f>
        <v>0</v>
      </c>
      <c r="E25" s="108">
        <f>IF(LEFT($A$22,5)="blank",0,'Input General'!E46+SUMPRODUCT('Input General'!E47:E50,'Input General'!E116:E119)*'Input Global'!E19+'Input General'!E72)</f>
        <v>40331.10512939922</v>
      </c>
      <c r="F25" s="108">
        <f>IF(LEFT($A$22,5)="blank",0,'Input General'!F46+SUMPRODUCT('Input General'!F47:F50,'Input General'!F116:F119)*'Input Global'!F19+'Input General'!F72)</f>
        <v>43627.331792973535</v>
      </c>
      <c r="G25" s="108">
        <f>IF(LEFT($A$22,5)="blank",0,'Input General'!G46+SUMPRODUCT('Input General'!G47:G50,'Input General'!G116:G119)*'Input Global'!G19+'Input General'!G72)</f>
        <v>47138.174574861368</v>
      </c>
      <c r="H25" s="108">
        <f>IF(LEFT($A$22,5)="blank",0,'Input General'!H46+SUMPRODUCT('Input General'!H47:H50,'Input General'!H116:H119)*'Input Global'!H19+'Input General'!H72)</f>
        <v>50952.858783241027</v>
      </c>
    </row>
    <row r="26" spans="1:14" ht="15" x14ac:dyDescent="0.25">
      <c r="A26" s="158"/>
      <c r="B26" s="158"/>
      <c r="C26" s="158"/>
      <c r="D26" s="158"/>
      <c r="E26" s="158"/>
      <c r="F26" s="158"/>
      <c r="G26" s="158"/>
      <c r="H26" s="158"/>
    </row>
    <row r="27" spans="1:14" x14ac:dyDescent="0.3">
      <c r="A27" t="str">
        <f t="shared" si="0"/>
        <v>Retail and Wholesale</v>
      </c>
      <c r="C27" t="s">
        <v>55</v>
      </c>
      <c r="D27" s="108">
        <f ca="1">IF(LEFT($A$22,5)="blank",0,VLOOKUP($B$2,'Input General'!$A$229:$H$233,COLUMN(D12),FALSE)*'Input Global'!D$34)+IF(LEFT($A$22,5)="blank",0,VLOOKUP($B$2,dist2wholesale,COLUMN(D8),FALSE)*'Input Global'!D19)</f>
        <v>34944.928044604494</v>
      </c>
      <c r="E27" s="108">
        <f ca="1">IF(LEFT($A$22,5)="blank",0,VLOOKUP($B$2,'Input General'!$A$229:$H$233,COLUMN(E12),FALSE)*'Input Global'!E$34)+IF(LEFT($A$22,5)="blank",0,VLOOKUP($B$2,dist2wholesale,COLUMN(E8),FALSE)*'Input Global'!E19)</f>
        <v>86550.234381842907</v>
      </c>
      <c r="F27" s="108">
        <f ca="1">IF(LEFT($A$22,5)="blank",0,VLOOKUP($B$2,'Input General'!$A$229:$H$233,COLUMN(F12),FALSE)*'Input Global'!F$34)+IF(LEFT($A$22,5)="blank",0,VLOOKUP($B$2,dist2wholesale,COLUMN(F8),FALSE)*'Input Global'!F19)</f>
        <v>84841.196151127282</v>
      </c>
      <c r="G27" s="108">
        <f ca="1">IF(LEFT($A$22,5)="blank",0,VLOOKUP($B$2,'Input General'!$A$229:$H$233,COLUMN(G12),FALSE)*'Input Global'!G$34)+IF(LEFT($A$22,5)="blank",0,VLOOKUP($B$2,dist2wholesale,COLUMN(G8),FALSE)*'Input Global'!G19)</f>
        <v>82908.340719185711</v>
      </c>
      <c r="H27" s="108">
        <f ca="1">IF(LEFT($A$22,5)="blank",0,VLOOKUP($B$2,'Input General'!$A$229:$H$233,COLUMN(H12),FALSE)*'Input Global'!H$34)+IF(LEFT($A$22,5)="blank",0,VLOOKUP($B$2,dist2wholesale,COLUMN(H8),FALSE)*'Input Global'!H19)</f>
        <v>83112.958026070643</v>
      </c>
    </row>
    <row r="28" spans="1:14" x14ac:dyDescent="0.3">
      <c r="A28" t="str">
        <f t="shared" si="0"/>
        <v>Green Schemes</v>
      </c>
      <c r="D28" s="103"/>
      <c r="E28" s="103"/>
      <c r="F28" s="103"/>
      <c r="G28" s="103"/>
      <c r="H28" s="103"/>
    </row>
    <row r="29" spans="1:14" x14ac:dyDescent="0.3">
      <c r="A29" s="11" t="str">
        <f t="shared" si="0"/>
        <v>Feed-in Tariffs</v>
      </c>
      <c r="C29" t="s">
        <v>55</v>
      </c>
      <c r="D29" s="108">
        <f>IF(LEFT($A$22,5)="blank",0,'Input General'!D85+SUMPRODUCT('Input General'!D86:D89,'Input General'!D116:D119)*'Input Global'!D19)</f>
        <v>0</v>
      </c>
      <c r="E29" s="108">
        <f>IF(LEFT($A$22,5)="blank",0,'Input General'!E85+SUMPRODUCT('Input General'!E86:E89,'Input General'!E116:E119)*'Input Global'!E19)</f>
        <v>1488.553030334584</v>
      </c>
      <c r="F29" s="108">
        <f>IF(LEFT($A$22,5)="blank",0,'Input General'!F85+SUMPRODUCT('Input General'!F86:F89,'Input General'!F116:F119)*'Input Global'!F19)</f>
        <v>1498.2146145536015</v>
      </c>
      <c r="G29" s="108">
        <f>IF(LEFT($A$22,5)="blank",0,'Input General'!G85+SUMPRODUCT('Input General'!G86:G89,'Input General'!G116:G119)*'Input Global'!G19)</f>
        <v>1503.9618686445797</v>
      </c>
      <c r="H29" s="108">
        <f>IF(LEFT($A$22,5)="blank",0,'Input General'!H85+SUMPRODUCT('Input General'!H86:H89,'Input General'!H116:H119)*'Input Global'!H19)</f>
        <v>1517.2041040482595</v>
      </c>
    </row>
    <row r="30" spans="1:14" x14ac:dyDescent="0.3">
      <c r="A30" s="11" t="str">
        <f t="shared" si="0"/>
        <v>Carbon costs</v>
      </c>
      <c r="C30" t="s">
        <v>55</v>
      </c>
      <c r="D30" s="108">
        <f ca="1">IF(LEFT($A$22,5)="blank",0,VLOOKUP($B$2,'Input General'!$A$262:$H$266,COLUMN('Input General'!D262),FALSE)*'Input Global'!D$19)</f>
        <v>0</v>
      </c>
      <c r="E30" s="108">
        <f ca="1">IF(LEFT($A$22,5)="blank",0,VLOOKUP($B$2,'Input General'!$A$262:$H$266,COLUMN('Input General'!E262),FALSE)*'Input Global'!E$19)</f>
        <v>0</v>
      </c>
      <c r="F30" s="108">
        <f ca="1">IF(LEFT($A$22,5)="blank",0,VLOOKUP($B$2,'Input General'!$A$262:$H$266,COLUMN('Input General'!F262),FALSE)*'Input Global'!F$19)</f>
        <v>10244.597444220091</v>
      </c>
      <c r="G30" s="108">
        <f ca="1">IF(LEFT($A$22,5)="blank",0,VLOOKUP($B$2,'Input General'!$A$262:$H$266,COLUMN('Input General'!G262),FALSE)*'Input Global'!G$19)</f>
        <v>11801.308266791864</v>
      </c>
      <c r="H30" s="108">
        <f ca="1">IF(LEFT($A$22,5)="blank",0,VLOOKUP($B$2,'Input General'!$A$262:$H$266,COLUMN('Input General'!H262),FALSE)*'Input Global'!H$19)</f>
        <v>10963.291788919105</v>
      </c>
      <c r="I30" s="10"/>
    </row>
    <row r="31" spans="1:14" x14ac:dyDescent="0.3">
      <c r="A31" s="11" t="str">
        <f t="shared" si="0"/>
        <v>Large Scale Renewable Energy Target</v>
      </c>
      <c r="C31" t="s">
        <v>55</v>
      </c>
      <c r="D31" s="108">
        <f ca="1">IF(LEFT($A$22,5)="blank",0,VLOOKUP($B$2,'Input General'!$A325:$H330,COLUMN(D16),FALSE)*'Input Global'!D19)</f>
        <v>1207.2319490745772</v>
      </c>
      <c r="E31" s="108">
        <f ca="1">IF(LEFT($A$22,5)="blank",0,VLOOKUP($B$2,'Input General'!$A325:$H330,COLUMN(E16),FALSE)*'Input Global'!E19)</f>
        <v>2070.6471001134769</v>
      </c>
      <c r="F31" s="108">
        <f ca="1">IF(LEFT($A$22,5)="blank",0,VLOOKUP($B$2,'Input General'!$A325:$H330,COLUMN(F16),FALSE)*'Input Global'!F19)</f>
        <v>3031.3917806135009</v>
      </c>
      <c r="G31" s="108">
        <f ca="1">IF(LEFT($A$22,5)="blank",0,VLOOKUP($B$2,'Input General'!$A325:$H330,COLUMN(G16),FALSE)*'Input Global'!G19)</f>
        <v>3165.2889523550011</v>
      </c>
      <c r="H31" s="108">
        <f ca="1">IF(LEFT($A$22,5)="blank",0,VLOOKUP($B$2,'Input General'!$A325:$H330,COLUMN(H16),FALSE)*'Input Global'!H19)</f>
        <v>3286.0188503971212</v>
      </c>
      <c r="I31" s="10"/>
    </row>
    <row r="32" spans="1:14" x14ac:dyDescent="0.3">
      <c r="A32" s="11" t="str">
        <f t="shared" si="0"/>
        <v>Small Scale Renewable Energy Scheme</v>
      </c>
      <c r="C32" t="s">
        <v>55</v>
      </c>
      <c r="D32" s="108">
        <f ca="1">IF(LEFT($A$22,5)="blank",0,'Input General'!D143*'Input Global'!D$19)</f>
        <v>2085.1764769245315</v>
      </c>
      <c r="E32" s="108">
        <f ca="1">IF(LEFT($A$22,5)="blank",0,'Input General'!E143*'Input Global'!E$19)</f>
        <v>2058.1022527255191</v>
      </c>
      <c r="F32" s="108">
        <f ca="1">IF(LEFT($A$22,5)="blank",0,'Input General'!F143*'Input Global'!F$19)</f>
        <v>2012.2963038669923</v>
      </c>
      <c r="G32" s="108">
        <f ca="1">IF(LEFT($A$22,5)="blank",0,'Input General'!G143*'Input Global'!G$19)</f>
        <v>863.02731456846857</v>
      </c>
      <c r="H32" s="108">
        <f ca="1">IF(LEFT($A$22,5)="blank",0,'Input General'!H143*'Input Global'!H$19)</f>
        <v>735.18370373322568</v>
      </c>
      <c r="I32" s="10"/>
    </row>
    <row r="33" spans="1:15" x14ac:dyDescent="0.3">
      <c r="A33" s="11" t="str">
        <f t="shared" si="0"/>
        <v>Energy Saver Incentive</v>
      </c>
      <c r="C33" t="s">
        <v>55</v>
      </c>
      <c r="D33" s="108">
        <f ca="1">IF(LEFT($A$22,5)="blank",0,VLOOKUP($B$2,'Input General'!$A$165:$H$169,COLUMN(D33),FALSE)*'Input Global'!D$19)</f>
        <v>1848.2570603249551</v>
      </c>
      <c r="E33" s="108">
        <f ca="1">IF(LEFT($A$22,5)="blank",0,VLOOKUP($B$2,'Input General'!$A$165:$H$169,COLUMN(E33),FALSE)*'Input Global'!E$19)</f>
        <v>1824.2590311018121</v>
      </c>
      <c r="F33" s="108">
        <f ca="1">IF(LEFT($A$22,5)="blank",0,VLOOKUP($B$2,'Input General'!$A$165:$H$169,COLUMN(F33),FALSE)*'Input Global'!F$19)</f>
        <v>1737.9227807159082</v>
      </c>
      <c r="G33" s="108">
        <f ca="1">IF(LEFT($A$22,5)="blank",0,VLOOKUP($B$2,'Input General'!$A$165:$H$169,COLUMN(G33),FALSE)*'Input Global'!G$19)</f>
        <v>1693.5057010159676</v>
      </c>
      <c r="H33" s="108">
        <f ca="1">IF(LEFT($A$22,5)="blank",0,VLOOKUP($B$2,'Input General'!$A$165:$H$169,COLUMN(H33),FALSE)*'Input Global'!H$19)</f>
        <v>1660.2185831154577</v>
      </c>
      <c r="I33" s="10"/>
    </row>
    <row r="34" spans="1:15" x14ac:dyDescent="0.3">
      <c r="A34" s="11" t="str">
        <f t="shared" si="0"/>
        <v>blank</v>
      </c>
      <c r="C34" t="s">
        <v>55</v>
      </c>
      <c r="D34" s="108">
        <f ca="1">IF(LEFT($A$22,5)="blank",0,VLOOKUP($B$2,'Input General'!$A$197:$H$201,COLUMN(D34),FALSE)*'Input Global'!D$19)</f>
        <v>0</v>
      </c>
      <c r="E34" s="108">
        <f ca="1">IF(LEFT($A$22,5)="blank",0,VLOOKUP($B$2,'Input General'!$A$197:$H$201,COLUMN(E34),FALSE)*'Input Global'!E$19)</f>
        <v>0</v>
      </c>
      <c r="F34" s="108">
        <f ca="1">IF(LEFT($A$22,5)="blank",0,VLOOKUP($B$2,'Input General'!$A$197:$H$201,COLUMN(F34),FALSE)*'Input Global'!F$19)</f>
        <v>0</v>
      </c>
      <c r="G34" s="108">
        <f ca="1">IF(LEFT($A$22,5)="blank",0,VLOOKUP($B$2,'Input General'!$A$197:$H$201,COLUMN(G34),FALSE)*'Input Global'!G$19)</f>
        <v>0</v>
      </c>
      <c r="H34" s="108">
        <f ca="1">IF(LEFT($A$22,5)="blank",0,VLOOKUP($B$2,'Input General'!$A$197:$H$201,COLUMN(H34),FALSE)*'Input Global'!H$19)</f>
        <v>0</v>
      </c>
      <c r="I34" s="10"/>
    </row>
    <row r="35" spans="1:15" x14ac:dyDescent="0.3">
      <c r="A35" s="12" t="s">
        <v>53</v>
      </c>
      <c r="B35" s="12"/>
      <c r="C35" s="12" t="s">
        <v>55</v>
      </c>
      <c r="D35" s="108">
        <f ca="1">SUM(D23:D34)</f>
        <v>40085.593530928563</v>
      </c>
      <c r="E35" s="108">
        <f t="shared" ref="E35:H35" ca="1" si="1">SUM(E23:E34)</f>
        <v>140525.87327020284</v>
      </c>
      <c r="F35" s="108">
        <f t="shared" ca="1" si="1"/>
        <v>153211.61356311297</v>
      </c>
      <c r="G35" s="108">
        <f t="shared" ca="1" si="1"/>
        <v>155291.46398825615</v>
      </c>
      <c r="H35" s="108">
        <f t="shared" ca="1" si="1"/>
        <v>158475.70349448296</v>
      </c>
    </row>
    <row r="37" spans="1:15" x14ac:dyDescent="0.3">
      <c r="A37" s="8" t="str">
        <f>Dist3</f>
        <v>SP Ausnet</v>
      </c>
    </row>
    <row r="38" spans="1:15" ht="15" x14ac:dyDescent="0.25">
      <c r="A38" s="158"/>
      <c r="B38" s="158"/>
      <c r="C38" s="158"/>
      <c r="D38" s="158"/>
      <c r="E38" s="158"/>
      <c r="F38" s="158"/>
      <c r="G38" s="158"/>
      <c r="H38" s="158"/>
      <c r="K38" s="158"/>
      <c r="L38" s="158"/>
      <c r="M38" s="158"/>
      <c r="N38" s="158"/>
      <c r="O38" s="158"/>
    </row>
    <row r="39" spans="1:15" x14ac:dyDescent="0.3">
      <c r="A39" t="str">
        <f t="shared" ref="A39:A49" si="2">A24</f>
        <v>Transmission</v>
      </c>
      <c r="C39" t="s">
        <v>55</v>
      </c>
      <c r="D39" s="108">
        <f>IF(LEFT($A$37,5)="blank",0,'Input General'!D20+(SUMPRODUCT('Input General'!D21:D24,'Input General'!D121:D124)*'Input Global'!D$20))</f>
        <v>0</v>
      </c>
      <c r="E39" s="108">
        <f>IF(LEFT($A$37,5)="blank",0,'Input General'!E20+(SUMPRODUCT('Input General'!E21:E24,'Input General'!E121:E124)*'Input Global'!E$20))</f>
        <v>5046.1048716151918</v>
      </c>
      <c r="F39" s="108">
        <f>IF(LEFT($A$37,5)="blank",0,'Input General'!F20+(SUMPRODUCT('Input General'!F21:F24,'Input General'!F121:F124)*'Input Global'!F$20))</f>
        <v>5037.6911121676212</v>
      </c>
      <c r="G39" s="108">
        <f>IF(LEFT($A$37,5)="blank",0,'Input General'!G20+(SUMPRODUCT('Input General'!G21:G24,'Input General'!G121:G124)*'Input Global'!G$20))</f>
        <v>5012.3109264832283</v>
      </c>
      <c r="H39" s="108">
        <f>IF(LEFT($A$37,5)="blank",0,'Input General'!H20+(SUMPRODUCT('Input General'!H21:H24,'Input General'!H121:H124)*'Input Global'!H$20))</f>
        <v>5017.2632984979691</v>
      </c>
    </row>
    <row r="40" spans="1:15" x14ac:dyDescent="0.3">
      <c r="A40" t="str">
        <f t="shared" si="2"/>
        <v>Distribution</v>
      </c>
      <c r="C40" t="s">
        <v>55</v>
      </c>
      <c r="D40" s="108">
        <f>IF(LEFT($A$37,5)="blank",0,'Input General'!D52+SUMPRODUCT('Input General'!D53:D56,'Input General'!D121:D124)*'Input Global'!D$20+'Input General'!D73)</f>
        <v>0</v>
      </c>
      <c r="E40" s="108">
        <f>IF(LEFT($A$37,5)="blank",0,'Input General'!E52+SUMPRODUCT('Input General'!E53:E56,'Input General'!E121:E124)*'Input Global'!E$20+'Input General'!E73)</f>
        <v>43163.908470428025</v>
      </c>
      <c r="F40" s="108">
        <f>IF(LEFT($A$37,5)="blank",0,'Input General'!F52+SUMPRODUCT('Input General'!F53:F56,'Input General'!F121:F124)*'Input Global'!F$20+'Input General'!F73)</f>
        <v>46847.272676484659</v>
      </c>
      <c r="G40" s="108">
        <f>IF(LEFT($A$37,5)="blank",0,'Input General'!G52+SUMPRODUCT('Input General'!G53:G56,'Input General'!G121:G124)*'Input Global'!G$20+'Input General'!G73)</f>
        <v>51313.444171889321</v>
      </c>
      <c r="H40" s="108">
        <f>IF(LEFT($A$37,5)="blank",0,'Input General'!H52+SUMPRODUCT('Input General'!H53:H56,'Input General'!H121:H124)*'Input Global'!H$20+'Input General'!H73)</f>
        <v>56363.478774462943</v>
      </c>
    </row>
    <row r="41" spans="1:15" ht="15" x14ac:dyDescent="0.25">
      <c r="A41" s="158"/>
      <c r="B41" s="158"/>
      <c r="C41" s="158"/>
      <c r="D41" s="158"/>
      <c r="E41" s="158"/>
      <c r="F41" s="158"/>
      <c r="G41" s="158"/>
      <c r="H41" s="158"/>
    </row>
    <row r="42" spans="1:15" x14ac:dyDescent="0.3">
      <c r="A42" t="str">
        <f t="shared" si="2"/>
        <v>Retail and Wholesale</v>
      </c>
      <c r="C42" t="s">
        <v>55</v>
      </c>
      <c r="D42" s="108">
        <f ca="1">IF(LEFT($A$37,5)="blank",0,VLOOKUP($B$2,'Input General'!$A$235:$H$239,COLUMN(D27),FALSE)*'Input Global'!D$35)+IF(LEFT($A$37,5)="blank",0,VLOOKUP($B$2,dist3wholesale,COLUMN(D38),FALSE)*'Input Global'!D20)</f>
        <v>37302.770754850208</v>
      </c>
      <c r="E42" s="108">
        <f ca="1">IF(LEFT($A$37,5)="blank",0,VLOOKUP($B$2,'Input General'!$A$235:$H$239,COLUMN(E27),FALSE)*'Input Global'!E$35)+IF(LEFT($A$37,5)="blank",0,VLOOKUP($B$2,dist3wholesale,COLUMN(E38),FALSE)*'Input Global'!E20)</f>
        <v>80557.419685131259</v>
      </c>
      <c r="F42" s="108">
        <f ca="1">IF(LEFT($A$37,5)="blank",0,VLOOKUP($B$2,'Input General'!$A$235:$H$239,COLUMN(F27),FALSE)*'Input Global'!F$35)+IF(LEFT($A$37,5)="blank",0,VLOOKUP($B$2,dist3wholesale,COLUMN(F38),FALSE)*'Input Global'!F20)</f>
        <v>76208.835987843413</v>
      </c>
      <c r="G42" s="108">
        <f ca="1">IF(LEFT($A$37,5)="blank",0,VLOOKUP($B$2,'Input General'!$A$235:$H$239,COLUMN(G27),FALSE)*'Input Global'!G$35)+IF(LEFT($A$37,5)="blank",0,VLOOKUP($B$2,dist3wholesale,COLUMN(G38),FALSE)*'Input Global'!G20)</f>
        <v>76027.590564130922</v>
      </c>
      <c r="H42" s="108">
        <f ca="1">IF(LEFT($A$37,5)="blank",0,VLOOKUP($B$2,'Input General'!$A$235:$H$239,COLUMN(H27),FALSE)*'Input Global'!H$35)+IF(LEFT($A$37,5)="blank",0,VLOOKUP($B$2,dist3wholesale,COLUMN(H38),FALSE)*'Input Global'!H20)</f>
        <v>76157.635939048894</v>
      </c>
    </row>
    <row r="43" spans="1:15" x14ac:dyDescent="0.3">
      <c r="A43" t="str">
        <f t="shared" si="2"/>
        <v>Green Schemes</v>
      </c>
      <c r="D43" s="103"/>
      <c r="E43" s="103"/>
      <c r="F43" s="103"/>
      <c r="G43" s="103"/>
      <c r="H43" s="103"/>
    </row>
    <row r="44" spans="1:15" x14ac:dyDescent="0.3">
      <c r="A44" s="11" t="str">
        <f t="shared" si="2"/>
        <v>Feed-in Tariffs</v>
      </c>
      <c r="C44" t="s">
        <v>55</v>
      </c>
      <c r="D44" s="108">
        <f>IF(LEFT($A$37,5)="blank",0,'Input General'!D91+SUMPRODUCT('Input General'!D92:D95,'Input General'!D121:D124)*'Input Global'!D$20)</f>
        <v>0</v>
      </c>
      <c r="E44" s="108">
        <f>IF(LEFT($A$37,5)="blank",0,'Input General'!E91+SUMPRODUCT('Input General'!E92:E95,'Input General'!E121:E124)*'Input Global'!E$20)</f>
        <v>1003.0915487369019</v>
      </c>
      <c r="F44" s="108">
        <f>IF(LEFT($A$37,5)="blank",0,'Input General'!F91+SUMPRODUCT('Input General'!F92:F95,'Input General'!F121:F124)*'Input Global'!F$20)</f>
        <v>1010.9887023359018</v>
      </c>
      <c r="G44" s="108">
        <f>IF(LEFT($A$37,5)="blank",0,'Input General'!G91+SUMPRODUCT('Input General'!G92:G95,'Input General'!G121:G124)*'Input Global'!G$20)</f>
        <v>1016.4919020208263</v>
      </c>
      <c r="H44" s="108">
        <f>IF(LEFT($A$37,5)="blank",0,'Input General'!H91+SUMPRODUCT('Input General'!H92:H95,'Input General'!H121:H124)*'Input Global'!H$20)</f>
        <v>1026.7165674206813</v>
      </c>
    </row>
    <row r="45" spans="1:15" x14ac:dyDescent="0.3">
      <c r="A45" s="11" t="str">
        <f t="shared" si="2"/>
        <v>Carbon costs</v>
      </c>
      <c r="C45" t="s">
        <v>55</v>
      </c>
      <c r="D45" s="108">
        <f ca="1">IF(LEFT($A$37,5)="blank",0,VLOOKUP($B$2,'Input General'!$A$268:$H$272,COLUMN('Input General'!D268),FALSE)*'Input Global'!D$20)</f>
        <v>0</v>
      </c>
      <c r="E45" s="108">
        <f ca="1">IF(LEFT($A$37,5)="blank",0,VLOOKUP($B$2,'Input General'!$A$268:$H$272,COLUMN('Input General'!E268),FALSE)*'Input Global'!E$20)</f>
        <v>0</v>
      </c>
      <c r="F45" s="108">
        <f ca="1">IF(LEFT($A$37,5)="blank",0,VLOOKUP($B$2,'Input General'!$A$268:$H$272,COLUMN('Input General'!F268),FALSE)*'Input Global'!F$20)</f>
        <v>10244.597444220091</v>
      </c>
      <c r="G45" s="108">
        <f ca="1">IF(LEFT($A$37,5)="blank",0,VLOOKUP($B$2,'Input General'!$A$268:$H$272,COLUMN('Input General'!G268),FALSE)*'Input Global'!G$20)</f>
        <v>11790.207319376856</v>
      </c>
      <c r="H45" s="108">
        <f ca="1">IF(LEFT($A$37,5)="blank",0,VLOOKUP($B$2,'Input General'!$A$268:$H$272,COLUMN('Input General'!H268),FALSE)*'Input Global'!H$20)</f>
        <v>10919.815815519694</v>
      </c>
    </row>
    <row r="46" spans="1:15" x14ac:dyDescent="0.3">
      <c r="A46" s="11" t="str">
        <f t="shared" si="2"/>
        <v>Large Scale Renewable Energy Target</v>
      </c>
      <c r="C46" t="s">
        <v>55</v>
      </c>
      <c r="D46" s="108">
        <f ca="1">IF(LEFT($A$37,5)="blank",0,VLOOKUP($B$2,'Input General'!$A331:$H336,COLUMN(D16),FALSE)*'Input Global'!D20)</f>
        <v>1207.2319490745772</v>
      </c>
      <c r="E46" s="108">
        <f ca="1">IF(LEFT($A$37,5)="blank",0,VLOOKUP($B$2,'Input General'!$A331:$H336,COLUMN(E16),FALSE)*'Input Global'!E20)</f>
        <v>2070.6471001134769</v>
      </c>
      <c r="F46" s="108">
        <f ca="1">IF(LEFT($A$37,5)="blank",0,VLOOKUP($B$2,'Input General'!$A331:$H336,COLUMN(F16),FALSE)*'Input Global'!F20)</f>
        <v>3031.3917806135009</v>
      </c>
      <c r="G46" s="108">
        <f ca="1">IF(LEFT($A$37,5)="blank",0,VLOOKUP($B$2,'Input General'!$A331:$H336,COLUMN(G16),FALSE)*'Input Global'!G20)</f>
        <v>3244.4211761638762</v>
      </c>
      <c r="H46" s="108">
        <f ca="1">IF(LEFT($A$37,5)="blank",0,VLOOKUP($B$2,'Input General'!$A331:$H336,COLUMN(H16),FALSE)*'Input Global'!H20)</f>
        <v>3286.0188503971217</v>
      </c>
    </row>
    <row r="47" spans="1:15" x14ac:dyDescent="0.3">
      <c r="A47" s="11" t="str">
        <f t="shared" si="2"/>
        <v>Small Scale Renewable Energy Scheme</v>
      </c>
      <c r="C47" t="s">
        <v>55</v>
      </c>
      <c r="D47" s="108">
        <f ca="1">IF(LEFT($A$37,5)="blank",0,'Input General'!D147*'Input Global'!D$20)</f>
        <v>2085.1764769245315</v>
      </c>
      <c r="E47" s="108">
        <f ca="1">IF(LEFT($A$37,5)="blank",0,'Input General'!E147*'Input Global'!E$20)</f>
        <v>2474.3240707424361</v>
      </c>
      <c r="F47" s="108">
        <f ca="1">IF(LEFT($A$37,5)="blank",0,'Input General'!F147*'Input Global'!F$20)</f>
        <v>1317.9953755290896</v>
      </c>
      <c r="G47" s="108">
        <f ca="1">IF(LEFT($A$37,5)="blank",0,'Input General'!G147*'Input Global'!G$20)</f>
        <v>565.25771446813451</v>
      </c>
      <c r="H47" s="108">
        <f ca="1">IF(LEFT($A$37,5)="blank",0,'Input General'!H147*'Input Global'!H$20)</f>
        <v>481.52387887543739</v>
      </c>
    </row>
    <row r="48" spans="1:15" x14ac:dyDescent="0.3">
      <c r="A48" s="11" t="str">
        <f t="shared" si="2"/>
        <v>Energy Saver Incentive</v>
      </c>
      <c r="C48" t="s">
        <v>55</v>
      </c>
      <c r="D48" s="108">
        <f ca="1">IF(LEFT($A$37,5)="blank",0,VLOOKUP($B$2,'Input General'!$A$171:$H$175,COLUMN(D33),FALSE)*'Input Global'!D$20)</f>
        <v>1848.2570603249551</v>
      </c>
      <c r="E48" s="108">
        <f ca="1">IF(LEFT($A$37,5)="blank",0,VLOOKUP($B$2,'Input General'!$A$171:$H$175,COLUMN(E33),FALSE)*'Input Global'!E$20)</f>
        <v>1824.2590311018121</v>
      </c>
      <c r="F48" s="108">
        <f ca="1">IF(LEFT($A$37,5)="blank",0,VLOOKUP($B$2,'Input General'!$A$171:$H$175,COLUMN(F33),FALSE)*'Input Global'!F$20)</f>
        <v>1737.9227807159082</v>
      </c>
      <c r="G48" s="108">
        <f ca="1">IF(LEFT($A$37,5)="blank",0,VLOOKUP($B$2,'Input General'!$A$171:$H$175,COLUMN(G33),FALSE)*'Input Global'!G$20)</f>
        <v>1693.5057010159676</v>
      </c>
      <c r="H48" s="108">
        <f ca="1">IF(LEFT($A$37,5)="blank",0,VLOOKUP($B$2,'Input General'!$A$171:$H$175,COLUMN(H33),FALSE)*'Input Global'!H$20)</f>
        <v>1660.2185831154577</v>
      </c>
    </row>
    <row r="49" spans="1:15" x14ac:dyDescent="0.3">
      <c r="A49" t="str">
        <f t="shared" si="2"/>
        <v>blank</v>
      </c>
      <c r="C49" t="s">
        <v>55</v>
      </c>
      <c r="D49" s="108">
        <f ca="1">IF(LEFT($A$37,5)="blank",0,VLOOKUP($B$2,'Input General'!$A$203:$H$207,COLUMN(D49),FALSE)*'Input Global'!D$20)</f>
        <v>0</v>
      </c>
      <c r="E49" s="108">
        <f ca="1">IF(LEFT($A$37,5)="blank",0,VLOOKUP($B$2,'Input General'!$A$203:$H$207,COLUMN(E49),FALSE)*'Input Global'!E$20)</f>
        <v>0</v>
      </c>
      <c r="F49" s="108">
        <f ca="1">IF(LEFT($A$37,5)="blank",0,VLOOKUP($B$2,'Input General'!$A$203:$H$207,COLUMN(F49),FALSE)*'Input Global'!F$20)</f>
        <v>0</v>
      </c>
      <c r="G49" s="108">
        <f ca="1">IF(LEFT($A$37,5)="blank",0,VLOOKUP($B$2,'Input General'!$A$203:$H$207,COLUMN(G49),FALSE)*'Input Global'!G$20)</f>
        <v>0</v>
      </c>
      <c r="H49" s="108">
        <f ca="1">IF(LEFT($A$37,5)="blank",0,VLOOKUP($B$2,'Input General'!$A$203:$H$207,COLUMN(H49),FALSE)*'Input Global'!H$20)</f>
        <v>0</v>
      </c>
    </row>
    <row r="50" spans="1:15" x14ac:dyDescent="0.3">
      <c r="A50" s="12" t="s">
        <v>53</v>
      </c>
      <c r="B50" s="12"/>
      <c r="C50" s="12" t="s">
        <v>55</v>
      </c>
      <c r="D50" s="108">
        <f ca="1">SUM(D38:D49)</f>
        <v>42443.436241174277</v>
      </c>
      <c r="E50" s="108">
        <f t="shared" ref="E50:H50" ca="1" si="3">SUM(E38:E49)</f>
        <v>136139.75477786909</v>
      </c>
      <c r="F50" s="108">
        <f t="shared" ca="1" si="3"/>
        <v>145436.69585991019</v>
      </c>
      <c r="G50" s="108">
        <f t="shared" ca="1" si="3"/>
        <v>150663.22947554913</v>
      </c>
      <c r="H50" s="108">
        <f t="shared" ca="1" si="3"/>
        <v>154912.67170733822</v>
      </c>
    </row>
    <row r="52" spans="1:15" x14ac:dyDescent="0.3">
      <c r="A52" s="8" t="str">
        <f>Dist4</f>
        <v>United</v>
      </c>
    </row>
    <row r="53" spans="1:15" ht="15" x14ac:dyDescent="0.25">
      <c r="A53" s="158"/>
      <c r="B53" s="158"/>
      <c r="C53" s="158"/>
      <c r="D53" s="158"/>
      <c r="E53" s="158"/>
      <c r="F53" s="158"/>
      <c r="G53" s="158"/>
      <c r="H53" s="158"/>
      <c r="K53" s="158"/>
      <c r="L53" s="158"/>
      <c r="M53" s="158"/>
      <c r="N53" s="158"/>
      <c r="O53" s="158"/>
    </row>
    <row r="54" spans="1:15" x14ac:dyDescent="0.3">
      <c r="A54" t="str">
        <f t="shared" ref="A54:A64" si="4">A39</f>
        <v>Transmission</v>
      </c>
      <c r="C54" t="s">
        <v>55</v>
      </c>
      <c r="D54" s="108">
        <f>IF(LEFT($A$52,5)="blank",0,'Input General'!D26+(SUMPRODUCT('Input General'!D27:D30,'Input General'!D126:D129)*'Input Global'!D$21))</f>
        <v>0</v>
      </c>
      <c r="E54" s="108">
        <f>IF(LEFT($A$52,5)="blank",0,'Input General'!E26+(SUMPRODUCT('Input General'!E27:E30,'Input General'!E126:E129)*'Input Global'!E$21))</f>
        <v>7746.8799701304106</v>
      </c>
      <c r="F54" s="108">
        <f>IF(LEFT($A$52,5)="blank",0,'Input General'!F26+(SUMPRODUCT('Input General'!F27:F30,'Input General'!F126:F129)*'Input Global'!F$21))</f>
        <v>7733.9630002702461</v>
      </c>
      <c r="G54" s="108">
        <f>IF(LEFT($A$52,5)="blank",0,'Input General'!G26+(SUMPRODUCT('Input General'!G27:G30,'Input General'!G126:G129)*'Input Global'!G$21))</f>
        <v>7694.9988373923388</v>
      </c>
      <c r="H54" s="108">
        <f>IF(LEFT($A$52,5)="blank",0,'Input General'!H26+(SUMPRODUCT('Input General'!H27:H30,'Input General'!H126:H129)*'Input Global'!H$21))</f>
        <v>7702.6018168273158</v>
      </c>
    </row>
    <row r="55" spans="1:15" x14ac:dyDescent="0.3">
      <c r="A55" t="str">
        <f t="shared" si="4"/>
        <v>Distribution</v>
      </c>
      <c r="C55" t="s">
        <v>55</v>
      </c>
      <c r="D55" s="108">
        <f>IF(LEFT($A$52,5)="blank",0,'Input General'!D58+SUMPRODUCT('Input General'!D59:D62,'Input General'!D126:D129)*'Input Global'!D$21+'Input General'!D74)</f>
        <v>0</v>
      </c>
      <c r="E55" s="108">
        <f>IF(LEFT($A$52,5)="blank",0,'Input General'!E58+SUMPRODUCT('Input General'!E59:E62,'Input General'!E126:E129)*'Input Global'!E$21+'Input General'!E74)</f>
        <v>36568.778951105123</v>
      </c>
      <c r="F55" s="108">
        <f>IF(LEFT($A$52,5)="blank",0,'Input General'!F58+SUMPRODUCT('Input General'!F59:F62,'Input General'!F126:F129)*'Input Global'!F$21+'Input General'!F74)</f>
        <v>40023.874109077631</v>
      </c>
      <c r="G55" s="108">
        <f>IF(LEFT($A$52,5)="blank",0,'Input General'!G58+SUMPRODUCT('Input General'!G59:G62,'Input General'!G126:G129)*'Input Global'!G$21+'Input General'!G74)</f>
        <v>45032.909324059874</v>
      </c>
      <c r="H55" s="108">
        <f>IF(LEFT($A$52,5)="blank",0,'Input General'!H58+SUMPRODUCT('Input General'!H59:H62,'Input General'!H126:H129)*'Input Global'!H$21+'Input General'!H74)</f>
        <v>50812.851016141794</v>
      </c>
    </row>
    <row r="56" spans="1:15" ht="15" x14ac:dyDescent="0.25">
      <c r="A56" s="158"/>
      <c r="B56" s="158"/>
      <c r="C56" s="158"/>
      <c r="D56" s="158"/>
      <c r="E56" s="158"/>
      <c r="F56" s="158"/>
      <c r="G56" s="158"/>
      <c r="H56" s="158"/>
    </row>
    <row r="57" spans="1:15" x14ac:dyDescent="0.3">
      <c r="A57" t="str">
        <f t="shared" si="4"/>
        <v>Retail and Wholesale</v>
      </c>
      <c r="C57" t="s">
        <v>55</v>
      </c>
      <c r="D57" s="108">
        <f ca="1">IF(LEFT($A$52,5)="blank",0,VLOOKUP($B$2,'Input General'!$A$241:$H$245,COLUMN(D57),FALSE)*'Input Global'!D$36)+IF(LEFT($A$52,5)="blank",0,VLOOKUP($B$2,dist4wholesale,COLUMN(D53),FALSE)*'Input Global'!D21)</f>
        <v>37554.806443901856</v>
      </c>
      <c r="E57" s="108">
        <f ca="1">IF(LEFT($A$52,5)="blank",0,VLOOKUP($B$2,'Input General'!$A$241:$H$245,COLUMN(E57),FALSE)*'Input Global'!E$36)+IF(LEFT($A$52,5)="blank",0,VLOOKUP($B$2,dist4wholesale,COLUMN(E53),FALSE)*'Input Global'!E21)</f>
        <v>77956.382499819636</v>
      </c>
      <c r="F57" s="108">
        <f ca="1">IF(LEFT($A$52,5)="blank",0,VLOOKUP($B$2,'Input General'!$A$241:$H$245,COLUMN(F57),FALSE)*'Input Global'!F$36)+IF(LEFT($A$52,5)="blank",0,VLOOKUP($B$2,dist4wholesale,COLUMN(F53),FALSE)*'Input Global'!F21)</f>
        <v>75576.2900799114</v>
      </c>
      <c r="G57" s="108">
        <f ca="1">IF(LEFT($A$52,5)="blank",0,VLOOKUP($B$2,'Input General'!$A$241:$H$245,COLUMN(G57),FALSE)*'Input Global'!G$36)+IF(LEFT($A$52,5)="blank",0,VLOOKUP($B$2,dist4wholesale,COLUMN(G53),FALSE)*'Input Global'!G21)</f>
        <v>73978.994155133725</v>
      </c>
      <c r="H57" s="108">
        <f ca="1">IF(LEFT($A$52,5)="blank",0,VLOOKUP($B$2,'Input General'!$A$241:$H$245,COLUMN(H57),FALSE)*'Input Global'!H$36)+IF(LEFT($A$52,5)="blank",0,VLOOKUP($B$2,dist4wholesale,COLUMN(H53),FALSE)*'Input Global'!H21)</f>
        <v>74019.603060504785</v>
      </c>
    </row>
    <row r="58" spans="1:15" x14ac:dyDescent="0.3">
      <c r="A58" t="str">
        <f t="shared" si="4"/>
        <v>Green Schemes</v>
      </c>
      <c r="D58" s="103"/>
      <c r="E58" s="103"/>
      <c r="F58" s="103"/>
      <c r="G58" s="103"/>
      <c r="H58" s="103"/>
    </row>
    <row r="59" spans="1:15" x14ac:dyDescent="0.3">
      <c r="A59" s="11" t="str">
        <f t="shared" si="4"/>
        <v>Feed-in Tariffs</v>
      </c>
      <c r="C59" t="s">
        <v>55</v>
      </c>
      <c r="D59" s="108">
        <f>IF(LEFT($A$52,5)="blank",0,'Input General'!D97+SUMPRODUCT('Input General'!D98:D101,'Input General'!D126:D129)*'Input Global'!D$21)</f>
        <v>0</v>
      </c>
      <c r="E59" s="108">
        <f>IF(LEFT($A$52,5)="blank",0,'Input General'!E97+SUMPRODUCT('Input General'!E98:E101,'Input General'!E126:E129)*'Input Global'!E$21)</f>
        <v>721.78750000000002</v>
      </c>
      <c r="F59" s="108">
        <f>IF(LEFT($A$52,5)="blank",0,'Input General'!F97+SUMPRODUCT('Input General'!F98:F101,'Input General'!F126:F129)*'Input Global'!F$21)</f>
        <v>739.83218749999992</v>
      </c>
      <c r="G59" s="108">
        <f>IF(LEFT($A$52,5)="blank",0,'Input General'!G97+SUMPRODUCT('Input General'!G98:G101,'Input General'!G126:G129)*'Input Global'!G$21)</f>
        <v>758.32799218749983</v>
      </c>
      <c r="H59" s="108">
        <f>IF(LEFT($A$52,5)="blank",0,'Input General'!H97+SUMPRODUCT('Input General'!H98:H101,'Input General'!H126:H129)*'Input Global'!H$21)</f>
        <v>777.28619199218724</v>
      </c>
    </row>
    <row r="60" spans="1:15" x14ac:dyDescent="0.3">
      <c r="A60" s="11" t="str">
        <f t="shared" si="4"/>
        <v>Carbon costs</v>
      </c>
      <c r="C60" t="s">
        <v>55</v>
      </c>
      <c r="D60" s="108">
        <f ca="1">IF(LEFT($A$52,5)="blank",0,VLOOKUP($B$2,'Input General'!$A$274:$H$278,COLUMN(D60),FALSE)*'Input Global'!D$21)</f>
        <v>0</v>
      </c>
      <c r="E60" s="108">
        <f ca="1">IF(LEFT($A$52,5)="blank",0,VLOOKUP($B$2,'Input General'!$A$274:$H$278,COLUMN(E60),FALSE)*'Input Global'!E$21)</f>
        <v>0</v>
      </c>
      <c r="F60" s="108">
        <f ca="1">IF(LEFT($A$52,5)="blank",0,VLOOKUP($B$2,'Input General'!$A$274:$H$278,COLUMN(F60),FALSE)*'Input Global'!F$21)</f>
        <v>10244.597444220091</v>
      </c>
      <c r="G60" s="108">
        <f ca="1">IF(LEFT($A$52,5)="blank",0,VLOOKUP($B$2,'Input General'!$A$274:$H$278,COLUMN(G60),FALSE)*'Input Global'!G$21)</f>
        <v>11830.545181916461</v>
      </c>
      <c r="H60" s="108">
        <f ca="1">IF(LEFT($A$52,5)="blank",0,VLOOKUP($B$2,'Input General'!$A$274:$H$278,COLUMN(H60),FALSE)*'Input Global'!H$21)</f>
        <v>10903.286913878237</v>
      </c>
    </row>
    <row r="61" spans="1:15" x14ac:dyDescent="0.3">
      <c r="A61" s="11" t="str">
        <f t="shared" si="4"/>
        <v>Large Scale Renewable Energy Target</v>
      </c>
      <c r="C61" t="s">
        <v>55</v>
      </c>
      <c r="D61" s="108">
        <f ca="1">IF(LEFT($A$52,5)="blank",0,VLOOKUP($B$2,'Input General'!$A338:$H342,COLUMN(D61),FALSE)*'Input Global'!D21)</f>
        <v>1207.2319490745772</v>
      </c>
      <c r="E61" s="108">
        <f ca="1">IF(LEFT($A$52,5)="blank",0,VLOOKUP($B$2,'Input General'!$A338:$H342,COLUMN(E61),FALSE)*'Input Global'!E21)</f>
        <v>2070.6471001134769</v>
      </c>
      <c r="F61" s="108">
        <f ca="1">IF(LEFT($A$52,5)="blank",0,VLOOKUP($B$2,'Input General'!$A338:$H342,COLUMN(F61),FALSE)*'Input Global'!F21)</f>
        <v>3031.3917806135009</v>
      </c>
      <c r="G61" s="108">
        <f ca="1">IF(LEFT($A$52,5)="blank",0,VLOOKUP($B$2,'Input General'!$A338:$H342,COLUMN(G61),FALSE)*'Input Global'!G21)</f>
        <v>3165.2889523550011</v>
      </c>
      <c r="H61" s="108">
        <f ca="1">IF(LEFT($A$52,5)="blank",0,VLOOKUP($B$2,'Input General'!$A338:$H342,COLUMN(H61),FALSE)*'Input Global'!H21)</f>
        <v>3286.0188503971212</v>
      </c>
    </row>
    <row r="62" spans="1:15" x14ac:dyDescent="0.3">
      <c r="A62" s="11" t="str">
        <f t="shared" si="4"/>
        <v>Small Scale Renewable Energy Scheme</v>
      </c>
      <c r="C62" t="s">
        <v>55</v>
      </c>
      <c r="D62" s="108">
        <f ca="1">IF(LEFT($A$52,5)="blank",0,'Input General'!D151*'Input Global'!D$21)</f>
        <v>2085.1764769245315</v>
      </c>
      <c r="E62" s="108">
        <f ca="1">IF(LEFT($A$52,5)="blank",0,'Input General'!E151*'Input Global'!E$21)</f>
        <v>2474.3240707424361</v>
      </c>
      <c r="F62" s="108">
        <f ca="1">IF(LEFT($A$52,5)="blank",0,'Input General'!F151*'Input Global'!F$21)</f>
        <v>1317.9953755290896</v>
      </c>
      <c r="G62" s="108">
        <f ca="1">IF(LEFT($A$52,5)="blank",0,'Input General'!G151*'Input Global'!G$21)</f>
        <v>565.25771446813451</v>
      </c>
      <c r="H62" s="108">
        <f ca="1">IF(LEFT($A$52,5)="blank",0,'Input General'!H151*'Input Global'!H$21)</f>
        <v>481.52387887543739</v>
      </c>
    </row>
    <row r="63" spans="1:15" x14ac:dyDescent="0.3">
      <c r="A63" s="11" t="str">
        <f t="shared" si="4"/>
        <v>Energy Saver Incentive</v>
      </c>
      <c r="C63" t="s">
        <v>55</v>
      </c>
      <c r="D63" s="108">
        <f ca="1">IF(LEFT($A$52,5)="blank",0,VLOOKUP($B$2,'Input General'!$A$177:$H$181,COLUMN(D48),FALSE)*'Input Global'!D$21)</f>
        <v>1848.2570603249551</v>
      </c>
      <c r="E63" s="108">
        <f ca="1">IF(LEFT($A$52,5)="blank",0,VLOOKUP($B$2,'Input General'!$A$177:$H$181,COLUMN(E48),FALSE)*'Input Global'!E$21)</f>
        <v>1824.2590311018121</v>
      </c>
      <c r="F63" s="108">
        <f ca="1">IF(LEFT($A$52,5)="blank",0,VLOOKUP($B$2,'Input General'!$A$177:$H$181,COLUMN(F48),FALSE)*'Input Global'!F$21)</f>
        <v>1737.9227807159082</v>
      </c>
      <c r="G63" s="108">
        <f ca="1">IF(LEFT($A$52,5)="blank",0,VLOOKUP($B$2,'Input General'!$A$177:$H$181,COLUMN(G48),FALSE)*'Input Global'!G$21)</f>
        <v>1693.5057010159676</v>
      </c>
      <c r="H63" s="108">
        <f ca="1">IF(LEFT($A$52,5)="blank",0,VLOOKUP($B$2,'Input General'!$A$177:$H$181,COLUMN(H48),FALSE)*'Input Global'!H$21)</f>
        <v>1660.2185831154577</v>
      </c>
    </row>
    <row r="64" spans="1:15" x14ac:dyDescent="0.3">
      <c r="A64" s="11" t="str">
        <f t="shared" si="4"/>
        <v>blank</v>
      </c>
      <c r="C64" t="s">
        <v>55</v>
      </c>
      <c r="D64" s="108">
        <f ca="1">IF(LEFT($A$52,5)="blank",0,VLOOKUP($B$2,'Input General'!$A$209:$H$213,COLUMN(D64),FALSE)*'Input Global'!D$21)</f>
        <v>0</v>
      </c>
      <c r="E64" s="108">
        <f ca="1">IF(LEFT($A$52,5)="blank",0,VLOOKUP($B$2,'Input General'!$A$209:$H$213,COLUMN(E64),FALSE)*'Input Global'!E$21)</f>
        <v>0</v>
      </c>
      <c r="F64" s="108">
        <f ca="1">IF(LEFT($A$52,5)="blank",0,VLOOKUP($B$2,'Input General'!$A$209:$H$213,COLUMN(F64),FALSE)*'Input Global'!F$21)</f>
        <v>0</v>
      </c>
      <c r="G64" s="108">
        <f ca="1">IF(LEFT($A$52,5)="blank",0,VLOOKUP($B$2,'Input General'!$A$209:$H$213,COLUMN(G64),FALSE)*'Input Global'!G$21)</f>
        <v>0</v>
      </c>
      <c r="H64" s="108">
        <f ca="1">IF(LEFT($A$52,5)="blank",0,VLOOKUP($B$2,'Input General'!$A$209:$H$213,COLUMN(H64),FALSE)*'Input Global'!H$21)</f>
        <v>0</v>
      </c>
    </row>
    <row r="65" spans="1:14" x14ac:dyDescent="0.3">
      <c r="A65" s="12" t="s">
        <v>53</v>
      </c>
      <c r="B65" s="12"/>
      <c r="C65" s="12" t="s">
        <v>55</v>
      </c>
      <c r="D65" s="108">
        <f ca="1">SUM(D53:D64)</f>
        <v>42695.471930225925</v>
      </c>
      <c r="E65" s="108">
        <f t="shared" ref="E65:H65" ca="1" si="5">SUM(E53:E64)</f>
        <v>129363.05912301291</v>
      </c>
      <c r="F65" s="108">
        <f t="shared" ca="1" si="5"/>
        <v>140405.86675783788</v>
      </c>
      <c r="G65" s="108">
        <f t="shared" ca="1" si="5"/>
        <v>144719.82785852902</v>
      </c>
      <c r="H65" s="108">
        <f t="shared" ca="1" si="5"/>
        <v>149643.39031173236</v>
      </c>
    </row>
    <row r="66" spans="1:14" x14ac:dyDescent="0.3">
      <c r="D66" s="102"/>
      <c r="E66" s="102"/>
      <c r="F66" s="102"/>
      <c r="G66" s="102"/>
      <c r="H66" s="102"/>
    </row>
    <row r="67" spans="1:14" x14ac:dyDescent="0.3">
      <c r="A67" s="8" t="str">
        <f>Dist5</f>
        <v>Jemena</v>
      </c>
    </row>
    <row r="68" spans="1:14" ht="15" x14ac:dyDescent="0.25">
      <c r="A68" s="158"/>
      <c r="B68" s="158"/>
      <c r="C68" s="158"/>
      <c r="D68" s="158"/>
      <c r="E68" s="158"/>
      <c r="F68" s="158"/>
      <c r="G68" s="158"/>
      <c r="H68" s="158"/>
      <c r="J68" s="158"/>
      <c r="K68" s="158"/>
      <c r="L68" s="158"/>
      <c r="M68" s="158"/>
      <c r="N68" s="158"/>
    </row>
    <row r="69" spans="1:14" x14ac:dyDescent="0.3">
      <c r="A69" t="str">
        <f t="shared" ref="A69:A79" si="6">A54</f>
        <v>Transmission</v>
      </c>
      <c r="C69" t="s">
        <v>55</v>
      </c>
      <c r="D69" s="108">
        <f>IF(LEFT($A$67,5)="blank",0,'Input General'!D32+(SUMPRODUCT('Input General'!D33:D36,'Input General'!D131:D134)*'Input Global'!D$22))</f>
        <v>0</v>
      </c>
      <c r="E69" s="108">
        <f>IF(LEFT($A$67,5)="blank",0,'Input General'!E32+(SUMPRODUCT('Input General'!E33:E36,'Input General'!E131:E134)*'Input Global'!E$22))</f>
        <v>4696.4309826740309</v>
      </c>
      <c r="F69" s="108">
        <f>IF(LEFT($A$67,5)="blank",0,'Input General'!F32+(SUMPRODUCT('Input General'!F33:F36,'Input General'!F131:F134)*'Input Global'!F$22))</f>
        <v>4696.0654467268905</v>
      </c>
      <c r="G69" s="108">
        <f>IF(LEFT($A$67,5)="blank",0,'Input General'!G32+(SUMPRODUCT('Input General'!G33:G36,'Input General'!G131:G134)*'Input Global'!G$22))</f>
        <v>4681.1593617962271</v>
      </c>
      <c r="H69" s="108">
        <f>IF(LEFT($A$67,5)="blank",0,'Input General'!H32+(SUMPRODUCT('Input General'!H33:H36,'Input General'!H131:H134)*'Input Global'!H$22))</f>
        <v>4692.6580076502969</v>
      </c>
    </row>
    <row r="70" spans="1:14" x14ac:dyDescent="0.3">
      <c r="A70" t="str">
        <f t="shared" si="6"/>
        <v>Distribution</v>
      </c>
      <c r="C70" t="s">
        <v>55</v>
      </c>
      <c r="D70" s="108">
        <f>IF(LEFT($A$67,5)="blank",0,'Input General'!D64+SUMPRODUCT('Input General'!D65:D68,'Input General'!D131:D134)*'Input Global'!D$22+'Input General'!D75)</f>
        <v>0</v>
      </c>
      <c r="E70" s="108">
        <f>IF(LEFT($A$67,5)="blank",0,'Input General'!E64+SUMPRODUCT('Input General'!E65:E68,'Input General'!E131:E134)*'Input Global'!E$22+'Input General'!E75)</f>
        <v>46034.113542638501</v>
      </c>
      <c r="F70" s="108">
        <f>IF(LEFT($A$67,5)="blank",0,'Input General'!F64+SUMPRODUCT('Input General'!F65:F68,'Input General'!F131:F134)*'Input Global'!F$22+'Input General'!F75)</f>
        <v>49511.647190717289</v>
      </c>
      <c r="G70" s="108">
        <f>IF(LEFT($A$67,5)="blank",0,'Input General'!G64+SUMPRODUCT('Input General'!G65:G68,'Input General'!G131:G134)*'Input Global'!G$22+'Input General'!G75)</f>
        <v>52196.285245207393</v>
      </c>
      <c r="H70" s="108">
        <f>IF(LEFT($A$67,5)="blank",0,'Input General'!H64+SUMPRODUCT('Input General'!H65:H68,'Input General'!H131:H134)*'Input Global'!H$22+'Input General'!H75)</f>
        <v>53948.981416067443</v>
      </c>
    </row>
    <row r="71" spans="1:14" ht="15" x14ac:dyDescent="0.25">
      <c r="A71" s="158"/>
      <c r="B71" s="158"/>
      <c r="C71" s="158"/>
      <c r="D71" s="158"/>
      <c r="E71" s="158"/>
      <c r="F71" s="158"/>
      <c r="G71" s="158"/>
      <c r="H71" s="158"/>
    </row>
    <row r="72" spans="1:14" x14ac:dyDescent="0.3">
      <c r="A72" t="str">
        <f t="shared" si="6"/>
        <v>Retail and Wholesale</v>
      </c>
      <c r="C72" t="s">
        <v>55</v>
      </c>
      <c r="D72" s="108">
        <f ca="1">IF(LEFT($A$67,5)="blank",0,VLOOKUP($B$2,'Input General'!$A$247:$H$251,COLUMN(D72),FALSE)*'Input Global'!D$37)+IF(LEFT($A$67,5)="blank",0,VLOOKUP($B$2,dist5wholesale,COLUMN(D68),FALSE)*'Input Global'!D22)</f>
        <v>37004.370213838418</v>
      </c>
      <c r="E72" s="108">
        <f ca="1">IF(LEFT($A$67,5)="blank",0,VLOOKUP($B$2,'Input General'!$A$247:$H$251,COLUMN(E72),FALSE)*'Input Global'!E$37)+IF(LEFT($A$67,5)="blank",0,VLOOKUP($B$2,dist5wholesale,COLUMN(E68),FALSE)*'Input Global'!E22)</f>
        <v>78950.951703408049</v>
      </c>
      <c r="F72" s="108">
        <f ca="1">IF(LEFT($A$67,5)="blank",0,VLOOKUP($B$2,'Input General'!$A$247:$H$251,COLUMN(F72),FALSE)*'Input Global'!F$37)+IF(LEFT($A$67,5)="blank",0,VLOOKUP($B$2,dist5wholesale,COLUMN(F68),FALSE)*'Input Global'!F22)</f>
        <v>94154.843797769427</v>
      </c>
      <c r="G72" s="108">
        <f ca="1">IF(LEFT($A$67,5)="blank",0,VLOOKUP($B$2,'Input General'!$A$247:$H$251,COLUMN(G72),FALSE)*'Input Global'!G$37)+IF(LEFT($A$67,5)="blank",0,VLOOKUP($B$2,dist5wholesale,COLUMN(G68),FALSE)*'Input Global'!G22)</f>
        <v>91772.967760466418</v>
      </c>
      <c r="H72" s="108">
        <f ca="1">IF(LEFT($A$67,5)="blank",0,VLOOKUP($B$2,'Input General'!$A$247:$H$251,COLUMN(H72),FALSE)*'Input Global'!H$37)+IF(LEFT($A$67,5)="blank",0,VLOOKUP($B$2,dist5wholesale,COLUMN(H68),FALSE)*'Input Global'!H22)</f>
        <v>90351.254941393621</v>
      </c>
    </row>
    <row r="73" spans="1:14" x14ac:dyDescent="0.3">
      <c r="A73" t="str">
        <f t="shared" si="6"/>
        <v>Green Schemes</v>
      </c>
      <c r="D73" s="103"/>
      <c r="E73" s="103"/>
      <c r="F73" s="103"/>
      <c r="G73" s="103"/>
      <c r="H73" s="103"/>
    </row>
    <row r="74" spans="1:14" x14ac:dyDescent="0.3">
      <c r="A74" s="11" t="str">
        <f t="shared" si="6"/>
        <v>Feed-in Tariffs</v>
      </c>
      <c r="C74" t="s">
        <v>55</v>
      </c>
      <c r="D74" s="108">
        <f>IF(LEFT($A$67,5)="blank",0,'Input General'!D103+SUMPRODUCT('Input General'!D104:D107,'Input General'!D131:D134)*'Input Global'!D$22)</f>
        <v>0</v>
      </c>
      <c r="E74" s="108">
        <f>IF(LEFT($A$67,5)="blank",0,'Input General'!E103+SUMPRODUCT('Input General'!E104:E107,'Input General'!E131:E134)*'Input Global'!E$22)</f>
        <v>229.20177570253537</v>
      </c>
      <c r="F74" s="108">
        <f>IF(LEFT($A$67,5)="blank",0,'Input General'!F103+SUMPRODUCT('Input General'!F104:F107,'Input General'!F131:F134)*'Input Global'!F$22)</f>
        <v>229.70308331962232</v>
      </c>
      <c r="G74" s="108">
        <f>IF(LEFT($A$67,5)="blank",0,'Input General'!G103+SUMPRODUCT('Input General'!G104:G107,'Input General'!G131:G134)*'Input Global'!G$22)</f>
        <v>229.42824191938192</v>
      </c>
      <c r="H74" s="108">
        <f>IF(LEFT($A$67,5)="blank",0,'Input General'!H103+SUMPRODUCT('Input General'!H104:H107,'Input General'!H131:H134)*'Input Global'!H$22)</f>
        <v>230.54162513890296</v>
      </c>
    </row>
    <row r="75" spans="1:14" x14ac:dyDescent="0.3">
      <c r="A75" s="11" t="str">
        <f t="shared" si="6"/>
        <v>Carbon costs</v>
      </c>
      <c r="C75" t="s">
        <v>55</v>
      </c>
      <c r="D75" s="108">
        <f ca="1">IF(LEFT($A$67,5)="blank",0,VLOOKUP($B$2,'Input General'!$A$280:$H$284,COLUMN(D75),FALSE)*'Input Global'!D$22)</f>
        <v>0</v>
      </c>
      <c r="E75" s="108">
        <f ca="1">IF(LEFT($A$67,5)="blank",0,VLOOKUP($B$2,'Input General'!$A$280:$H$284,COLUMN(E75),FALSE)*'Input Global'!E$22)</f>
        <v>0</v>
      </c>
      <c r="F75" s="108">
        <f ca="1">IF(LEFT($A$67,5)="blank",0,VLOOKUP($B$2,'Input General'!$A$280:$H$284,COLUMN(F75),FALSE)*'Input Global'!F$22)</f>
        <v>10244.597444220091</v>
      </c>
      <c r="G75" s="108">
        <f ca="1">IF(LEFT($A$67,5)="blank",0,VLOOKUP($B$2,'Input General'!$A$280:$H$284,COLUMN(G75),FALSE)*'Input Global'!G$22)</f>
        <v>11839.150870744941</v>
      </c>
      <c r="H75" s="108">
        <f ca="1">IF(LEFT($A$67,5)="blank",0,VLOOKUP($B$2,'Input General'!$A$280:$H$284,COLUMN(H75),FALSE)*'Input Global'!H$22)</f>
        <v>10904.794067586314</v>
      </c>
    </row>
    <row r="76" spans="1:14" x14ac:dyDescent="0.3">
      <c r="A76" s="11" t="str">
        <f t="shared" si="6"/>
        <v>Large Scale Renewable Energy Target</v>
      </c>
      <c r="C76" t="s">
        <v>55</v>
      </c>
      <c r="D76" s="108">
        <f ca="1">IF(LEFT($A$67,5)="blank",0,VLOOKUP($B$2,'Input General'!$A344:$H348,COLUMN(D76),FALSE)*'Input Global'!D22)</f>
        <v>1207.2319490745772</v>
      </c>
      <c r="E76" s="108">
        <f ca="1">IF(LEFT($A$67,5)="blank",0,VLOOKUP($B$2,'Input General'!$A344:$H348,COLUMN(E76),FALSE)*'Input Global'!E22)</f>
        <v>2070.6471001134769</v>
      </c>
      <c r="F76" s="108">
        <f ca="1">IF(LEFT($A$67,5)="blank",0,VLOOKUP($B$2,'Input General'!$A344:$H348,COLUMN(F76),FALSE)*'Input Global'!F22)</f>
        <v>3031.3917806135009</v>
      </c>
      <c r="G76" s="108">
        <f ca="1">IF(LEFT($A$67,5)="blank",0,VLOOKUP($B$2,'Input General'!$A344:$H348,COLUMN(G76),FALSE)*'Input Global'!G22)</f>
        <v>3165.2889523550011</v>
      </c>
      <c r="H76" s="108">
        <f ca="1">IF(LEFT($A$67,5)="blank",0,VLOOKUP($B$2,'Input General'!$A344:$H348,COLUMN(H76),FALSE)*'Input Global'!H22)</f>
        <v>3286.0188503971212</v>
      </c>
    </row>
    <row r="77" spans="1:14" x14ac:dyDescent="0.3">
      <c r="A77" s="11" t="str">
        <f t="shared" si="6"/>
        <v>Small Scale Renewable Energy Scheme</v>
      </c>
      <c r="C77" t="s">
        <v>55</v>
      </c>
      <c r="D77" s="108">
        <f ca="1">IF(LEFT($A$67,5)="blank",0,'Input General'!D155*'Input Global'!D$22)</f>
        <v>2085.1764769245315</v>
      </c>
      <c r="E77" s="108">
        <f ca="1">IF(LEFT($A$67,5)="blank",0,'Input General'!E155*'Input Global'!E$22)</f>
        <v>2474.3240707424361</v>
      </c>
      <c r="F77" s="108">
        <f ca="1">IF(LEFT($A$67,5)="blank",0,'Input General'!F155*'Input Global'!F$22)</f>
        <v>1317.9953755290896</v>
      </c>
      <c r="G77" s="108">
        <f ca="1">IF(LEFT($A$67,5)="blank",0,'Input General'!G155*'Input Global'!G$22)</f>
        <v>565.25771446813451</v>
      </c>
      <c r="H77" s="108">
        <f ca="1">IF(LEFT($A$67,5)="blank",0,'Input General'!H155*'Input Global'!H$22)</f>
        <v>481.52387887543739</v>
      </c>
    </row>
    <row r="78" spans="1:14" x14ac:dyDescent="0.3">
      <c r="A78" s="11" t="str">
        <f t="shared" si="6"/>
        <v>Energy Saver Incentive</v>
      </c>
      <c r="C78" t="s">
        <v>55</v>
      </c>
      <c r="D78" s="108">
        <f ca="1">IF(LEFT($A$67,5)="blank",0,VLOOKUP($B$2,'Input General'!$A$183:$H$187,COLUMN(D78),FALSE)*'Input Global'!D$22)</f>
        <v>1848.2570603249551</v>
      </c>
      <c r="E78" s="108">
        <f ca="1">IF(LEFT($A$67,5)="blank",0,VLOOKUP($B$2,'Input General'!$A$183:$H$187,COLUMN(E78),FALSE)*'Input Global'!E$22)</f>
        <v>1824.2590311018121</v>
      </c>
      <c r="F78" s="108">
        <f ca="1">IF(LEFT($A$67,5)="blank",0,VLOOKUP($B$2,'Input General'!$A$183:$H$187,COLUMN(F78),FALSE)*'Input Global'!F$22)</f>
        <v>1737.9227807159082</v>
      </c>
      <c r="G78" s="108">
        <f ca="1">IF(LEFT($A$67,5)="blank",0,VLOOKUP($B$2,'Input General'!$A$183:$H$187,COLUMN(G78),FALSE)*'Input Global'!G$22)</f>
        <v>1693.5057010159676</v>
      </c>
      <c r="H78" s="108">
        <f ca="1">IF(LEFT($A$67,5)="blank",0,VLOOKUP($B$2,'Input General'!$A$183:$H$187,COLUMN(H78),FALSE)*'Input Global'!H$22)</f>
        <v>1660.2185831154577</v>
      </c>
    </row>
    <row r="79" spans="1:14" x14ac:dyDescent="0.3">
      <c r="A79" s="11" t="str">
        <f t="shared" si="6"/>
        <v>blank</v>
      </c>
      <c r="C79" t="s">
        <v>55</v>
      </c>
      <c r="D79" s="108">
        <f ca="1">IF(LEFT($A$67,5)="blank",0,VLOOKUP($B$2,'Input General'!$A$215:$H$219,COLUMN(D79),FALSE)*'Input Global'!D$22)</f>
        <v>0</v>
      </c>
      <c r="E79" s="108">
        <f ca="1">IF(LEFT($A$67,5)="blank",0,VLOOKUP($B$2,'Input General'!$A$215:$H$219,COLUMN(E79),FALSE)*'Input Global'!E$22)</f>
        <v>0</v>
      </c>
      <c r="F79" s="108">
        <f ca="1">IF(LEFT($A$67,5)="blank",0,VLOOKUP($B$2,'Input General'!$A$215:$H$219,COLUMN(F79),FALSE)*'Input Global'!F$22)</f>
        <v>0</v>
      </c>
      <c r="G79" s="108">
        <f ca="1">IF(LEFT($A$67,5)="blank",0,VLOOKUP($B$2,'Input General'!$A$215:$H$219,COLUMN(G79),FALSE)*'Input Global'!G$22)</f>
        <v>0</v>
      </c>
      <c r="H79" s="108">
        <f ca="1">IF(LEFT($A$67,5)="blank",0,VLOOKUP($B$2,'Input General'!$A$215:$H$219,COLUMN(H79),FALSE)*'Input Global'!H$22)</f>
        <v>0</v>
      </c>
    </row>
    <row r="80" spans="1:14" x14ac:dyDescent="0.3">
      <c r="A80" s="12" t="s">
        <v>53</v>
      </c>
      <c r="B80" s="12"/>
      <c r="C80" s="12" t="s">
        <v>55</v>
      </c>
      <c r="D80" s="108">
        <f ca="1">SUM(D68:D79)</f>
        <v>42145.035700162487</v>
      </c>
      <c r="E80" s="108">
        <f t="shared" ref="E80:H80" ca="1" si="7">SUM(E68:E79)</f>
        <v>136279.92820638084</v>
      </c>
      <c r="F80" s="108">
        <f t="shared" ca="1" si="7"/>
        <v>164924.16689961182</v>
      </c>
      <c r="G80" s="108">
        <f t="shared" ca="1" si="7"/>
        <v>166143.04384797349</v>
      </c>
      <c r="H80" s="108">
        <f t="shared" ca="1" si="7"/>
        <v>165555.9913702246</v>
      </c>
    </row>
    <row r="81" spans="1:8" x14ac:dyDescent="0.3">
      <c r="D81" s="103"/>
      <c r="E81" s="103"/>
      <c r="F81" s="103"/>
      <c r="G81" s="103"/>
      <c r="H81" s="103"/>
    </row>
    <row r="82" spans="1:8" ht="18.75" x14ac:dyDescent="0.3">
      <c r="A82" s="1" t="s">
        <v>54</v>
      </c>
      <c r="B82" s="1" t="s">
        <v>41</v>
      </c>
      <c r="D82" s="103"/>
      <c r="E82" s="103"/>
      <c r="F82" s="103"/>
      <c r="G82" s="103"/>
      <c r="H82" s="103"/>
    </row>
    <row r="84" spans="1:8" x14ac:dyDescent="0.3">
      <c r="A84" s="8" t="str">
        <f>Dist1</f>
        <v>Citipower</v>
      </c>
    </row>
    <row r="85" spans="1:8" ht="15" x14ac:dyDescent="0.25">
      <c r="A85" s="158"/>
      <c r="B85" s="158"/>
      <c r="C85" s="158"/>
      <c r="D85" s="158"/>
      <c r="E85" s="158"/>
      <c r="F85" s="158"/>
      <c r="G85" s="158"/>
      <c r="H85" s="158"/>
    </row>
    <row r="86" spans="1:8" x14ac:dyDescent="0.3">
      <c r="A86" t="str">
        <f t="shared" ref="A86:A96" si="8">A69</f>
        <v>Transmission</v>
      </c>
      <c r="C86" t="s">
        <v>11</v>
      </c>
      <c r="D86" s="108">
        <f>IF(LEFT($A$84,5)="blank",0,D9/'Input Global'!D$18)</f>
        <v>0</v>
      </c>
      <c r="E86" s="108">
        <f>IF(LEFT($A$84,5)="blank",0,E9/'Input Global'!E$18)</f>
        <v>1.0036378510908099</v>
      </c>
      <c r="F86" s="108">
        <f>IF(LEFT($A$84,5)="blank",0,F9/'Input Global'!F$18)</f>
        <v>1.0270565898303081</v>
      </c>
      <c r="G86" s="108">
        <f>IF(LEFT($A$84,5)="blank",0,G9/'Input Global'!G$18)</f>
        <v>1.051432803745763</v>
      </c>
      <c r="H86" s="108">
        <f>IF(LEFT($A$84,5)="blank",0,H9/'Input Global'!H$18)</f>
        <v>1.0757753652500264</v>
      </c>
    </row>
    <row r="87" spans="1:8" x14ac:dyDescent="0.3">
      <c r="A87" t="str">
        <f t="shared" si="8"/>
        <v>Distribution</v>
      </c>
      <c r="C87" t="s">
        <v>11</v>
      </c>
      <c r="D87" s="108">
        <f>IF(LEFT($A$84,5)="blank",0,D10/'Input Global'!D$18)</f>
        <v>0</v>
      </c>
      <c r="E87" s="108">
        <f>IF(LEFT($A$84,5)="blank",0,E10/'Input Global'!E$18)</f>
        <v>6.8538447253772814</v>
      </c>
      <c r="F87" s="108">
        <f>IF(LEFT($A$84,5)="blank",0,F10/'Input Global'!F$18)</f>
        <v>7.6877150734816615</v>
      </c>
      <c r="G87" s="108">
        <f>IF(LEFT($A$84,5)="blank",0,G10/'Input Global'!G$18)</f>
        <v>8.7608109698470322</v>
      </c>
      <c r="H87" s="108">
        <f>IF(LEFT($A$84,5)="blank",0,H10/'Input Global'!H$18)</f>
        <v>9.887034526115178</v>
      </c>
    </row>
    <row r="88" spans="1:8" ht="15" x14ac:dyDescent="0.25">
      <c r="A88" s="158"/>
      <c r="B88" s="158"/>
      <c r="C88" s="158"/>
      <c r="D88" s="158"/>
      <c r="E88" s="158"/>
      <c r="F88" s="158"/>
      <c r="G88" s="158"/>
      <c r="H88" s="158"/>
    </row>
    <row r="89" spans="1:8" x14ac:dyDescent="0.3">
      <c r="A89" t="str">
        <f t="shared" si="8"/>
        <v>Retail and Wholesale</v>
      </c>
      <c r="C89" t="s">
        <v>11</v>
      </c>
      <c r="D89" s="108">
        <f ca="1">IF(LEFT($A$84,5)="blank",0,D12/'Input Global'!D$18)</f>
        <v>6.3719017275711742</v>
      </c>
      <c r="E89" s="108">
        <f ca="1">IF(LEFT($A$84,5)="blank",0,E12/'Input Global'!E$18)</f>
        <v>18.107404734813731</v>
      </c>
      <c r="F89" s="108">
        <f ca="1">IF(LEFT($A$84,5)="blank",0,F12/'Input Global'!F$18)</f>
        <v>16.948834122612851</v>
      </c>
      <c r="G89" s="108">
        <f ca="1">IF(LEFT($A$84,5)="blank",0,G12/'Input Global'!G$18)</f>
        <v>17.34074580699745</v>
      </c>
      <c r="H89" s="108">
        <f ca="1">IF(LEFT($A$84,5)="blank",0,H12/'Input Global'!H$18)</f>
        <v>17.32852940422309</v>
      </c>
    </row>
    <row r="90" spans="1:8" x14ac:dyDescent="0.3">
      <c r="A90" t="str">
        <f t="shared" si="8"/>
        <v>Green Schemes</v>
      </c>
      <c r="C90" t="s">
        <v>11</v>
      </c>
      <c r="D90" s="103"/>
      <c r="E90" s="103"/>
      <c r="F90" s="103"/>
      <c r="G90" s="103"/>
      <c r="H90" s="103"/>
    </row>
    <row r="91" spans="1:8" x14ac:dyDescent="0.3">
      <c r="A91" s="11" t="str">
        <f t="shared" si="8"/>
        <v>Feed-in Tariffs</v>
      </c>
      <c r="C91" t="s">
        <v>11</v>
      </c>
      <c r="D91" s="108">
        <f>IF(LEFT($A$84,5)="blank",0,D14/'Input Global'!D$18)</f>
        <v>0</v>
      </c>
      <c r="E91" s="108">
        <f>IF(LEFT($A$84,5)="blank",0,E14/'Input Global'!E$18)</f>
        <v>6.3084530362979896E-2</v>
      </c>
      <c r="F91" s="108">
        <f>IF(LEFT($A$84,5)="blank",0,F14/'Input Global'!F$18)</f>
        <v>6.5392744002186406E-2</v>
      </c>
      <c r="G91" s="108">
        <f>IF(LEFT($A$84,5)="blank",0,G14/'Input Global'!G$18)</f>
        <v>6.7910661367941841E-2</v>
      </c>
      <c r="H91" s="108">
        <f>IF(LEFT($A$84,5)="blank",0,H14/'Input Global'!H$18)</f>
        <v>7.0318536124230599E-2</v>
      </c>
    </row>
    <row r="92" spans="1:8" x14ac:dyDescent="0.3">
      <c r="A92" s="11" t="str">
        <f t="shared" si="8"/>
        <v>Carbon costs</v>
      </c>
      <c r="C92" t="s">
        <v>11</v>
      </c>
      <c r="D92" s="108">
        <f ca="1">IF(LEFT($A$84,5)="blank",0,D15/'Input Global'!D$18)</f>
        <v>0</v>
      </c>
      <c r="E92" s="108">
        <f ca="1">IF(LEFT($A$84,5)="blank",0,E15/'Input Global'!E$18)</f>
        <v>0</v>
      </c>
      <c r="F92" s="108">
        <f ca="1">IF(LEFT($A$84,5)="blank",0,F15/'Input Global'!F$18)</f>
        <v>2.2400000000000002</v>
      </c>
      <c r="G92" s="108">
        <f ca="1">IF(LEFT($A$84,5)="blank",0,G15/'Input Global'!G$18)</f>
        <v>2.6543740057764724</v>
      </c>
      <c r="H92" s="108">
        <f ca="1">IF(LEFT($A$84,5)="blank",0,H15/'Input Global'!H$18)</f>
        <v>2.4894418064030548</v>
      </c>
    </row>
    <row r="93" spans="1:8" x14ac:dyDescent="0.3">
      <c r="A93" s="11" t="str">
        <f t="shared" si="8"/>
        <v>Large Scale Renewable Energy Target</v>
      </c>
      <c r="C93" t="s">
        <v>11</v>
      </c>
      <c r="D93" s="108">
        <f ca="1">IF(LEFT($A$84,5)="blank",0,D16/'Input Global'!D$18)</f>
        <v>0.25473754178777863</v>
      </c>
      <c r="E93" s="108">
        <f ca="1">IF(LEFT($A$84,5)="blank",0,E16/'Input Global'!E$18)</f>
        <v>0.44267417909205159</v>
      </c>
      <c r="F93" s="108">
        <f ca="1">IF(LEFT($A$84,5)="blank",0,F16/'Input Global'!F$18)</f>
        <v>0.6628193665535661</v>
      </c>
      <c r="G93" s="108">
        <f ca="1">IF(LEFT($A$84,5)="blank",0,G16/'Input Global'!G$18)</f>
        <v>0.71024845158378358</v>
      </c>
      <c r="H93" s="108">
        <f ca="1">IF(LEFT($A$84,5)="blank",0,H16/'Input Global'!H$18)</f>
        <v>0.75212214575245984</v>
      </c>
    </row>
    <row r="94" spans="1:8" x14ac:dyDescent="0.3">
      <c r="A94" s="11" t="str">
        <f t="shared" si="8"/>
        <v>Small Scale Renewable Energy Scheme</v>
      </c>
      <c r="C94" t="s">
        <v>11</v>
      </c>
      <c r="D94" s="108">
        <f ca="1">IF(LEFT($A$84,5)="blank",0,D17/'Input Global'!D$18)</f>
        <v>0.43999227350852893</v>
      </c>
      <c r="E94" s="108">
        <f ca="1">IF(LEFT($A$84,5)="blank",0,E17/'Input Global'!E$18)</f>
        <v>0.52897443353026441</v>
      </c>
      <c r="F94" s="108">
        <f ca="1">IF(LEFT($A$84,5)="blank",0,F17/'Input Global'!F$18)</f>
        <v>0.2881821035194338</v>
      </c>
      <c r="G94" s="108">
        <f ca="1">IF(LEFT($A$84,5)="blank",0,G17/'Input Global'!G$18)</f>
        <v>0.12683626123551275</v>
      </c>
      <c r="H94" s="108">
        <f ca="1">IF(LEFT($A$84,5)="blank",0,H17/'Input Global'!H$18)</f>
        <v>0.11021384523313774</v>
      </c>
    </row>
    <row r="95" spans="1:8" x14ac:dyDescent="0.3">
      <c r="A95" s="11" t="str">
        <f t="shared" si="8"/>
        <v>Energy Saver Incentive</v>
      </c>
      <c r="C95" t="s">
        <v>11</v>
      </c>
      <c r="D95" s="108">
        <f ca="1">IF(LEFT($A$84,5)="blank",0,D18/'Input Global'!D$18)</f>
        <v>0.39</v>
      </c>
      <c r="E95" s="108">
        <f ca="1">IF(LEFT($A$84,5)="blank",0,E18/'Input Global'!E$18)</f>
        <v>0.39</v>
      </c>
      <c r="F95" s="108">
        <f ca="1">IF(LEFT($A$84,5)="blank",0,F18/'Input Global'!F$18)</f>
        <v>0.38</v>
      </c>
      <c r="G95" s="108">
        <f ca="1">IF(LEFT($A$84,5)="blank",0,G18/'Input Global'!G$18)</f>
        <v>0.38</v>
      </c>
      <c r="H95" s="108">
        <f ca="1">IF(LEFT($A$84,5)="blank",0,H18/'Input Global'!H$18)</f>
        <v>0.38</v>
      </c>
    </row>
    <row r="96" spans="1:8" x14ac:dyDescent="0.3">
      <c r="A96" s="11" t="str">
        <f t="shared" si="8"/>
        <v>blank</v>
      </c>
      <c r="C96" t="s">
        <v>11</v>
      </c>
      <c r="D96" s="108">
        <f ca="1">IF(LEFT($A$84,5)="blank",0,D19/'Input Global'!D$18)</f>
        <v>0</v>
      </c>
      <c r="E96" s="108">
        <f ca="1">IF(LEFT($A$84,5)="blank",0,E19/'Input Global'!E$18)</f>
        <v>0</v>
      </c>
      <c r="F96" s="108">
        <f ca="1">IF(LEFT($A$84,5)="blank",0,F19/'Input Global'!F$18)</f>
        <v>0</v>
      </c>
      <c r="G96" s="108">
        <f ca="1">IF(LEFT($A$84,5)="blank",0,G19/'Input Global'!G$18)</f>
        <v>0</v>
      </c>
      <c r="H96" s="108">
        <f ca="1">IF(LEFT($A$84,5)="blank",0,H19/'Input Global'!H$18)</f>
        <v>0</v>
      </c>
    </row>
    <row r="97" spans="1:8" x14ac:dyDescent="0.3">
      <c r="A97" s="12" t="s">
        <v>53</v>
      </c>
      <c r="B97" s="12"/>
      <c r="C97" s="12" t="s">
        <v>11</v>
      </c>
      <c r="D97" s="108">
        <f ca="1">SUM(D85:D96)</f>
        <v>7.4566315428674814</v>
      </c>
      <c r="E97" s="108">
        <f t="shared" ref="E97:H97" ca="1" si="9">SUM(E85:E96)</f>
        <v>27.389620454267117</v>
      </c>
      <c r="F97" s="108">
        <f t="shared" ca="1" si="9"/>
        <v>29.300000000000004</v>
      </c>
      <c r="G97" s="108">
        <f t="shared" ca="1" si="9"/>
        <v>31.092358960553955</v>
      </c>
      <c r="H97" s="108">
        <f t="shared" ca="1" si="9"/>
        <v>32.093435629101172</v>
      </c>
    </row>
    <row r="99" spans="1:8" x14ac:dyDescent="0.3">
      <c r="A99" s="8" t="str">
        <f>Dist2</f>
        <v>Powercor</v>
      </c>
    </row>
    <row r="100" spans="1:8" ht="15" x14ac:dyDescent="0.25">
      <c r="A100" s="158"/>
      <c r="B100" s="158"/>
      <c r="C100" s="158"/>
      <c r="D100" s="158"/>
      <c r="E100" s="158"/>
      <c r="F100" s="158"/>
      <c r="G100" s="158"/>
      <c r="H100" s="158"/>
    </row>
    <row r="101" spans="1:8" x14ac:dyDescent="0.3">
      <c r="A101" t="str">
        <f t="shared" ref="A101:A111" si="10">A86</f>
        <v>Transmission</v>
      </c>
      <c r="C101" t="s">
        <v>11</v>
      </c>
      <c r="D101" s="108">
        <f>IF(LEFT($A$99,5)="blank",0,D24/'Input Global'!D$19)</f>
        <v>0</v>
      </c>
      <c r="E101" s="108">
        <f>IF(LEFT($A$99,5)="blank",0,E24/'Input Global'!E$19)</f>
        <v>1.3261051052416393</v>
      </c>
      <c r="F101" s="108">
        <f>IF(LEFT($A$99,5)="blank",0,F24/'Input Global'!F$19)</f>
        <v>1.3597219912972978</v>
      </c>
      <c r="G101" s="108">
        <f>IF(LEFT($A$99,5)="blank",0,G24/'Input Global'!G$19)</f>
        <v>1.395203749889431</v>
      </c>
      <c r="H101" s="108">
        <f>IF(LEFT($A$99,5)="blank",0,H24/'Input Global'!H$19)</f>
        <v>1.4300698070905618</v>
      </c>
    </row>
    <row r="102" spans="1:8" x14ac:dyDescent="0.3">
      <c r="A102" t="str">
        <f t="shared" si="10"/>
        <v>Distribution</v>
      </c>
      <c r="C102" t="s">
        <v>11</v>
      </c>
      <c r="D102" s="108">
        <f>IF(LEFT($A$99,5)="blank",0,D25/'Input Global'!D$19)</f>
        <v>0</v>
      </c>
      <c r="E102" s="108">
        <f>IF(LEFT($A$99,5)="blank",0,E25/'Input Global'!E$19)</f>
        <v>8.622202621612157</v>
      </c>
      <c r="F102" s="108">
        <f>IF(LEFT($A$99,5)="blank",0,F25/'Input Global'!F$19)</f>
        <v>9.5391960248663956</v>
      </c>
      <c r="G102" s="108">
        <f>IF(LEFT($A$99,5)="blank",0,G25/'Input Global'!G$19)</f>
        <v>10.577175103515302</v>
      </c>
      <c r="H102" s="108">
        <f>IF(LEFT($A$99,5)="blank",0,H25/'Input Global'!H$19)</f>
        <v>11.66237177113026</v>
      </c>
    </row>
    <row r="103" spans="1:8" ht="15" x14ac:dyDescent="0.25">
      <c r="A103" s="158"/>
      <c r="B103" s="158"/>
      <c r="C103" s="158"/>
      <c r="D103" s="158"/>
      <c r="E103" s="158"/>
      <c r="F103" s="158"/>
      <c r="G103" s="158"/>
      <c r="H103" s="158"/>
    </row>
    <row r="104" spans="1:8" x14ac:dyDescent="0.3">
      <c r="A104" t="str">
        <f t="shared" si="10"/>
        <v>Retail and Wholesale</v>
      </c>
      <c r="C104" t="s">
        <v>11</v>
      </c>
      <c r="D104" s="108">
        <f ca="1">IF(LEFT($A$99,5)="blank",0,D27/'Input Global'!D$19)</f>
        <v>7.3737156102082606</v>
      </c>
      <c r="E104" s="108">
        <f ca="1">IF(LEFT($A$99,5)="blank",0,E27/'Input Global'!E$19)</f>
        <v>18.503179007715648</v>
      </c>
      <c r="F104" s="108">
        <f ca="1">IF(LEFT($A$99,5)="blank",0,F27/'Input Global'!F$19)</f>
        <v>18.550682973467776</v>
      </c>
      <c r="G104" s="108">
        <f ca="1">IF(LEFT($A$99,5)="blank",0,G27/'Input Global'!G$19)</f>
        <v>18.603521354779023</v>
      </c>
      <c r="H104" s="108">
        <f ca="1">IF(LEFT($A$99,5)="blank",0,H27/'Input Global'!H$19)</f>
        <v>19.023352931419666</v>
      </c>
    </row>
    <row r="105" spans="1:8" x14ac:dyDescent="0.3">
      <c r="A105" t="str">
        <f t="shared" si="10"/>
        <v>Green Schemes</v>
      </c>
      <c r="C105" t="s">
        <v>11</v>
      </c>
      <c r="D105" s="103"/>
      <c r="E105" s="103"/>
      <c r="F105" s="103"/>
      <c r="G105" s="103"/>
      <c r="H105" s="103"/>
    </row>
    <row r="106" spans="1:8" x14ac:dyDescent="0.3">
      <c r="A106" s="11" t="str">
        <f t="shared" si="10"/>
        <v>Feed-in Tariffs</v>
      </c>
      <c r="C106" t="s">
        <v>11</v>
      </c>
      <c r="D106" s="108">
        <f>IF(LEFT($A$99,5)="blank",0,D29/'Input Global'!D$19)</f>
        <v>0</v>
      </c>
      <c r="E106" s="108">
        <f>IF(LEFT($A$99,5)="blank",0,E29/'Input Global'!E$19)</f>
        <v>0.31823094852919931</v>
      </c>
      <c r="F106" s="108">
        <f>IF(LEFT($A$99,5)="blank",0,F29/'Input Global'!F$19)</f>
        <v>0.32758737030643331</v>
      </c>
      <c r="G106" s="108">
        <f>IF(LEFT($A$99,5)="blank",0,G29/'Input Global'!G$19)</f>
        <v>0.33746890237339194</v>
      </c>
      <c r="H106" s="108">
        <f>IF(LEFT($A$99,5)="blank",0,H29/'Input Global'!H$19)</f>
        <v>0.34726605604934618</v>
      </c>
    </row>
    <row r="107" spans="1:8" x14ac:dyDescent="0.3">
      <c r="A107" s="11" t="str">
        <f t="shared" si="10"/>
        <v>Carbon costs</v>
      </c>
      <c r="C107" t="s">
        <v>11</v>
      </c>
      <c r="D107" s="108">
        <f ca="1">IF(LEFT($A$99,5)="blank",0,D30/'Input Global'!D$19)</f>
        <v>0</v>
      </c>
      <c r="E107" s="108">
        <f ca="1">IF(LEFT($A$99,5)="blank",0,E30/'Input Global'!E$19)</f>
        <v>0</v>
      </c>
      <c r="F107" s="108">
        <f ca="1">IF(LEFT($A$99,5)="blank",0,F30/'Input Global'!F$19)</f>
        <v>2.2400000000000002</v>
      </c>
      <c r="G107" s="108">
        <f ca="1">IF(LEFT($A$99,5)="blank",0,G30/'Input Global'!G$19)</f>
        <v>2.648055532786556</v>
      </c>
      <c r="H107" s="108">
        <f ca="1">IF(LEFT($A$99,5)="blank",0,H30/'Input Global'!H$19)</f>
        <v>2.5093387835543446</v>
      </c>
    </row>
    <row r="108" spans="1:8" x14ac:dyDescent="0.3">
      <c r="A108" s="11" t="str">
        <f t="shared" si="10"/>
        <v>Large Scale Renewable Energy Target</v>
      </c>
      <c r="C108" t="s">
        <v>11</v>
      </c>
      <c r="D108" s="108">
        <f ca="1">IF(LEFT($A$99,5)="blank",0,D31/'Input Global'!D$19)</f>
        <v>0.25473754178777863</v>
      </c>
      <c r="E108" s="108">
        <f ca="1">IF(LEFT($A$99,5)="blank",0,E31/'Input Global'!E$19)</f>
        <v>0.44267417909205159</v>
      </c>
      <c r="F108" s="108">
        <f ca="1">IF(LEFT($A$99,5)="blank",0,F31/'Input Global'!F$19)</f>
        <v>0.6628193665535661</v>
      </c>
      <c r="G108" s="108">
        <f ca="1">IF(LEFT($A$99,5)="blank",0,G31/'Input Global'!G$19)</f>
        <v>0.71024845158378325</v>
      </c>
      <c r="H108" s="108">
        <f ca="1">IF(LEFT($A$99,5)="blank",0,H31/'Input Global'!H$19)</f>
        <v>0.7521221457524595</v>
      </c>
    </row>
    <row r="109" spans="1:8" x14ac:dyDescent="0.3">
      <c r="A109" s="11" t="str">
        <f t="shared" si="10"/>
        <v>Small Scale Renewable Energy Scheme</v>
      </c>
      <c r="C109" t="s">
        <v>11</v>
      </c>
      <c r="D109" s="108">
        <f ca="1">IF(LEFT($A$99,5)="blank",0,D32/'Input Global'!D$19)</f>
        <v>0.43999227350852893</v>
      </c>
      <c r="E109" s="108">
        <f ca="1">IF(LEFT($A$99,5)="blank",0,E32/'Input Global'!E$19)</f>
        <v>0.43999227350852893</v>
      </c>
      <c r="F109" s="108">
        <f ca="1">IF(LEFT($A$99,5)="blank",0,F32/'Input Global'!F$19)</f>
        <v>0.43999227350852893</v>
      </c>
      <c r="G109" s="108">
        <f ca="1">IF(LEFT($A$99,5)="blank",0,G32/'Input Global'!G$19)</f>
        <v>0.19365177178870679</v>
      </c>
      <c r="H109" s="108">
        <f ca="1">IF(LEFT($A$99,5)="blank",0,H32/'Input Global'!H$19)</f>
        <v>0.16827290710984494</v>
      </c>
    </row>
    <row r="110" spans="1:8" x14ac:dyDescent="0.3">
      <c r="A110" s="11" t="str">
        <f t="shared" si="10"/>
        <v>Energy Saver Incentive</v>
      </c>
      <c r="C110" t="s">
        <v>11</v>
      </c>
      <c r="D110" s="108">
        <f ca="1">IF(LEFT($A$99,5)="blank",0,D33/'Input Global'!D$19)</f>
        <v>0.39</v>
      </c>
      <c r="E110" s="108">
        <f ca="1">IF(LEFT($A$99,5)="blank",0,E33/'Input Global'!E$19)</f>
        <v>0.39</v>
      </c>
      <c r="F110" s="108">
        <f ca="1">IF(LEFT($A$99,5)="blank",0,F33/'Input Global'!F$19)</f>
        <v>0.38</v>
      </c>
      <c r="G110" s="108">
        <f ca="1">IF(LEFT($A$99,5)="blank",0,G33/'Input Global'!G$19)</f>
        <v>0.38</v>
      </c>
      <c r="H110" s="108">
        <f ca="1">IF(LEFT($A$99,5)="blank",0,H33/'Input Global'!H$19)</f>
        <v>0.38</v>
      </c>
    </row>
    <row r="111" spans="1:8" x14ac:dyDescent="0.3">
      <c r="A111" s="11" t="str">
        <f t="shared" si="10"/>
        <v>blank</v>
      </c>
      <c r="C111" t="s">
        <v>11</v>
      </c>
      <c r="D111" s="108">
        <f ca="1">IF(LEFT($A$99,5)="blank",0,D34/'Input Global'!D$19)</f>
        <v>0</v>
      </c>
      <c r="E111" s="108">
        <f ca="1">IF(LEFT($A$99,5)="blank",0,E34/'Input Global'!E$19)</f>
        <v>0</v>
      </c>
      <c r="F111" s="108">
        <f ca="1">IF(LEFT($A$99,5)="blank",0,F34/'Input Global'!F$19)</f>
        <v>0</v>
      </c>
      <c r="G111" s="108">
        <f ca="1">IF(LEFT($A$99,5)="blank",0,G34/'Input Global'!G$19)</f>
        <v>0</v>
      </c>
      <c r="H111" s="108">
        <f ca="1">IF(LEFT($A$99,5)="blank",0,H34/'Input Global'!H$19)</f>
        <v>0</v>
      </c>
    </row>
    <row r="112" spans="1:8" x14ac:dyDescent="0.3">
      <c r="A112" s="12" t="s">
        <v>53</v>
      </c>
      <c r="B112" s="12"/>
      <c r="C112" s="12" t="s">
        <v>11</v>
      </c>
      <c r="D112" s="108">
        <f ca="1">SUM(D100:D111)</f>
        <v>8.4584454255045696</v>
      </c>
      <c r="E112" s="108">
        <f t="shared" ref="E112:H112" ca="1" si="11">SUM(E100:E111)</f>
        <v>30.042384135699223</v>
      </c>
      <c r="F112" s="108">
        <f t="shared" ca="1" si="11"/>
        <v>33.5</v>
      </c>
      <c r="G112" s="108">
        <f t="shared" ca="1" si="11"/>
        <v>34.84532486671619</v>
      </c>
      <c r="H112" s="108">
        <f t="shared" ca="1" si="11"/>
        <v>36.272794402106491</v>
      </c>
    </row>
    <row r="114" spans="1:8" x14ac:dyDescent="0.3">
      <c r="A114" s="8" t="str">
        <f>Dist3</f>
        <v>SP Ausnet</v>
      </c>
    </row>
    <row r="115" spans="1:8" ht="15" x14ac:dyDescent="0.25">
      <c r="A115" s="158"/>
      <c r="B115" s="158"/>
      <c r="C115" s="158"/>
      <c r="D115" s="158"/>
      <c r="E115" s="158"/>
      <c r="F115" s="158"/>
      <c r="G115" s="158"/>
      <c r="H115" s="158"/>
    </row>
    <row r="116" spans="1:8" x14ac:dyDescent="0.3">
      <c r="A116" t="str">
        <f t="shared" ref="A116:A126" si="12">A101</f>
        <v>Transmission</v>
      </c>
      <c r="C116" t="s">
        <v>11</v>
      </c>
      <c r="D116" s="108">
        <f>IF(LEFT($A$114,5)="blank",0,D39/'Input Global'!D$20)</f>
        <v>0</v>
      </c>
      <c r="E116" s="108">
        <f>IF(LEFT($A$114,5)="blank",0,E39/'Input Global'!E$20)</f>
        <v>1.0787836959432828</v>
      </c>
      <c r="F116" s="108">
        <f>IF(LEFT($A$114,5)="blank",0,F39/'Input Global'!F$20)</f>
        <v>1.1015003910790115</v>
      </c>
      <c r="G116" s="108">
        <f>IF(LEFT($A$114,5)="blank",0,G39/'Input Global'!G$20)</f>
        <v>1.1246954473911559</v>
      </c>
      <c r="H116" s="108">
        <f>IF(LEFT($A$114,5)="blank",0,H39/'Input Global'!H$20)</f>
        <v>1.1483789380621812</v>
      </c>
    </row>
    <row r="117" spans="1:8" x14ac:dyDescent="0.3">
      <c r="A117" t="str">
        <f t="shared" si="12"/>
        <v>Distribution</v>
      </c>
      <c r="C117" t="s">
        <v>11</v>
      </c>
      <c r="D117" s="108">
        <f>IF(LEFT($A$114,5)="blank",0,D40/'Input Global'!D$20)</f>
        <v>0</v>
      </c>
      <c r="E117" s="108">
        <f>IF(LEFT($A$114,5)="blank",0,E40/'Input Global'!E$20)</f>
        <v>9.2278146998124573</v>
      </c>
      <c r="F117" s="108">
        <f>IF(LEFT($A$114,5)="blank",0,F40/'Input Global'!F$20)</f>
        <v>10.243241998203711</v>
      </c>
      <c r="G117" s="108">
        <f>IF(LEFT($A$114,5)="blank",0,G40/'Input Global'!G$20)</f>
        <v>11.514049686174685</v>
      </c>
      <c r="H117" s="108">
        <f>IF(LEFT($A$114,5)="blank",0,H40/'Input Global'!H$20)</f>
        <v>12.900784361842325</v>
      </c>
    </row>
    <row r="118" spans="1:8" ht="15" x14ac:dyDescent="0.25">
      <c r="A118" s="158"/>
      <c r="B118" s="158"/>
      <c r="C118" s="158"/>
      <c r="D118" s="158"/>
      <c r="E118" s="158"/>
      <c r="F118" s="158"/>
      <c r="G118" s="158"/>
      <c r="H118" s="158"/>
    </row>
    <row r="119" spans="1:8" x14ac:dyDescent="0.3">
      <c r="A119" t="str">
        <f t="shared" si="12"/>
        <v>Retail and Wholesale</v>
      </c>
      <c r="C119" t="s">
        <v>11</v>
      </c>
      <c r="D119" s="108">
        <f ca="1">IF(LEFT($A$114,5)="blank",0,D42/'Input Global'!D$20)</f>
        <v>7.871243079051883</v>
      </c>
      <c r="E119" s="108">
        <f ca="1">IF(LEFT($A$114,5)="blank",0,E42/'Input Global'!E$20)</f>
        <v>17.222002545453087</v>
      </c>
      <c r="F119" s="108">
        <f ca="1">IF(LEFT($A$114,5)="blank",0,F42/'Input Global'!F$20)</f>
        <v>16.663201608676292</v>
      </c>
      <c r="G119" s="108">
        <f ca="1">IF(LEFT($A$114,5)="blank",0,G42/'Input Global'!G$20)</f>
        <v>17.059573166501757</v>
      </c>
      <c r="H119" s="108">
        <f ca="1">IF(LEFT($A$114,5)="blank",0,H42/'Input Global'!H$20)</f>
        <v>17.431380392413061</v>
      </c>
    </row>
    <row r="120" spans="1:8" x14ac:dyDescent="0.3">
      <c r="A120" t="str">
        <f t="shared" si="12"/>
        <v>Green Schemes</v>
      </c>
      <c r="C120" t="s">
        <v>11</v>
      </c>
      <c r="D120" s="103"/>
      <c r="E120" s="103"/>
      <c r="F120" s="103"/>
      <c r="G120" s="103"/>
      <c r="H120" s="103"/>
    </row>
    <row r="121" spans="1:8" x14ac:dyDescent="0.3">
      <c r="A121" s="11" t="str">
        <f t="shared" si="12"/>
        <v>Feed-in Tariffs</v>
      </c>
      <c r="C121" t="s">
        <v>11</v>
      </c>
      <c r="D121" s="108">
        <f>IF(LEFT($A$114,5)="blank",0,D44/'Input Global'!D$20)</f>
        <v>0</v>
      </c>
      <c r="E121" s="108">
        <f>IF(LEFT($A$114,5)="blank",0,E44/'Input Global'!E$20)</f>
        <v>0.21444635730876013</v>
      </c>
      <c r="F121" s="108">
        <f>IF(LEFT($A$114,5)="blank",0,F44/'Input Global'!F$20)</f>
        <v>0.22105453196797845</v>
      </c>
      <c r="G121" s="108">
        <f>IF(LEFT($A$114,5)="blank",0,G44/'Input Global'!G$20)</f>
        <v>0.2280871700261681</v>
      </c>
      <c r="H121" s="108">
        <f>IF(LEFT($A$114,5)="blank",0,H44/'Input Global'!H$20)</f>
        <v>0.2350005593165477</v>
      </c>
    </row>
    <row r="122" spans="1:8" x14ac:dyDescent="0.3">
      <c r="A122" s="11" t="str">
        <f t="shared" si="12"/>
        <v>Carbon costs</v>
      </c>
      <c r="C122" t="s">
        <v>11</v>
      </c>
      <c r="D122" s="108">
        <f ca="1">IF(LEFT($A$114,5)="blank",0,D45/'Input Global'!D$20)</f>
        <v>0</v>
      </c>
      <c r="E122" s="108">
        <f ca="1">IF(LEFT($A$114,5)="blank",0,E45/'Input Global'!E$20)</f>
        <v>0</v>
      </c>
      <c r="F122" s="108">
        <f ca="1">IF(LEFT($A$114,5)="blank",0,F45/'Input Global'!F$20)</f>
        <v>2.2400000000000002</v>
      </c>
      <c r="G122" s="108">
        <f ca="1">IF(LEFT($A$114,5)="blank",0,G45/'Input Global'!G$20)</f>
        <v>2.6455646288497272</v>
      </c>
      <c r="H122" s="108">
        <f ca="1">IF(LEFT($A$114,5)="blank",0,H45/'Input Global'!H$20)</f>
        <v>2.4993877626106</v>
      </c>
    </row>
    <row r="123" spans="1:8" x14ac:dyDescent="0.3">
      <c r="A123" s="11" t="str">
        <f t="shared" si="12"/>
        <v>Large Scale Renewable Energy Target</v>
      </c>
      <c r="C123" t="s">
        <v>11</v>
      </c>
      <c r="D123" s="108">
        <f ca="1">IF(LEFT($A$114,5)="blank",0,D46/'Input Global'!D$20)</f>
        <v>0.25473754178777863</v>
      </c>
      <c r="E123" s="108">
        <f ca="1">IF(LEFT($A$114,5)="blank",0,E46/'Input Global'!E$20)</f>
        <v>0.44267417909205159</v>
      </c>
      <c r="F123" s="108">
        <f ca="1">IF(LEFT($A$114,5)="blank",0,F46/'Input Global'!F$20)</f>
        <v>0.6628193665535661</v>
      </c>
      <c r="G123" s="108">
        <f ca="1">IF(LEFT($A$114,5)="blank",0,G46/'Input Global'!G$20)</f>
        <v>0.72800466287337784</v>
      </c>
      <c r="H123" s="108">
        <f ca="1">IF(LEFT($A$114,5)="blank",0,H46/'Input Global'!H$20)</f>
        <v>0.75212214575245961</v>
      </c>
    </row>
    <row r="124" spans="1:8" x14ac:dyDescent="0.3">
      <c r="A124" s="11" t="str">
        <f t="shared" si="12"/>
        <v>Small Scale Renewable Energy Scheme</v>
      </c>
      <c r="C124" t="s">
        <v>11</v>
      </c>
      <c r="D124" s="108">
        <f ca="1">IF(LEFT($A$114,5)="blank",0,D47/'Input Global'!D$20)</f>
        <v>0.43999227350852893</v>
      </c>
      <c r="E124" s="108">
        <f ca="1">IF(LEFT($A$114,5)="blank",0,E47/'Input Global'!E$20)</f>
        <v>0.52897443353026441</v>
      </c>
      <c r="F124" s="108">
        <f ca="1">IF(LEFT($A$114,5)="blank",0,F47/'Input Global'!F$20)</f>
        <v>0.2881821035194338</v>
      </c>
      <c r="G124" s="108">
        <f ca="1">IF(LEFT($A$114,5)="blank",0,G47/'Input Global'!G$20)</f>
        <v>0.12683626123551256</v>
      </c>
      <c r="H124" s="108">
        <f ca="1">IF(LEFT($A$114,5)="blank",0,H47/'Input Global'!H$20)</f>
        <v>0.11021384523313771</v>
      </c>
    </row>
    <row r="125" spans="1:8" x14ac:dyDescent="0.3">
      <c r="A125" s="11" t="str">
        <f t="shared" si="12"/>
        <v>Energy Saver Incentive</v>
      </c>
      <c r="C125" t="s">
        <v>11</v>
      </c>
      <c r="D125" s="108">
        <f ca="1">IF(LEFT($A$114,5)="blank",0,D48/'Input Global'!D$20)</f>
        <v>0.39</v>
      </c>
      <c r="E125" s="108">
        <f ca="1">IF(LEFT($A$114,5)="blank",0,E48/'Input Global'!E$20)</f>
        <v>0.39</v>
      </c>
      <c r="F125" s="108">
        <f ca="1">IF(LEFT($A$114,5)="blank",0,F48/'Input Global'!F$20)</f>
        <v>0.38</v>
      </c>
      <c r="G125" s="108">
        <f ca="1">IF(LEFT($A$114,5)="blank",0,G48/'Input Global'!G$20)</f>
        <v>0.38</v>
      </c>
      <c r="H125" s="108">
        <f ca="1">IF(LEFT($A$114,5)="blank",0,H48/'Input Global'!H$20)</f>
        <v>0.38</v>
      </c>
    </row>
    <row r="126" spans="1:8" x14ac:dyDescent="0.3">
      <c r="A126" s="11" t="str">
        <f t="shared" si="12"/>
        <v>blank</v>
      </c>
      <c r="C126" t="s">
        <v>11</v>
      </c>
      <c r="D126" s="108">
        <f ca="1">IF(LEFT($A$114,5)="blank",0,D49/'Input Global'!D$20)</f>
        <v>0</v>
      </c>
      <c r="E126" s="108">
        <f ca="1">IF(LEFT($A$114,5)="blank",0,E49/'Input Global'!E$20)</f>
        <v>0</v>
      </c>
      <c r="F126" s="108">
        <f ca="1">IF(LEFT($A$114,5)="blank",0,F49/'Input Global'!F$20)</f>
        <v>0</v>
      </c>
      <c r="G126" s="108">
        <f ca="1">IF(LEFT($A$114,5)="blank",0,G49/'Input Global'!G$20)</f>
        <v>0</v>
      </c>
      <c r="H126" s="108">
        <f ca="1">IF(LEFT($A$114,5)="blank",0,H49/'Input Global'!H$20)</f>
        <v>0</v>
      </c>
    </row>
    <row r="127" spans="1:8" x14ac:dyDescent="0.3">
      <c r="A127" s="12" t="s">
        <v>53</v>
      </c>
      <c r="B127" s="12"/>
      <c r="C127" s="12" t="s">
        <v>11</v>
      </c>
      <c r="D127" s="108">
        <f ca="1">SUM(D115:D126)</f>
        <v>8.9559728943481929</v>
      </c>
      <c r="E127" s="108">
        <f t="shared" ref="E127:H127" ca="1" si="13">SUM(E115:E126)</f>
        <v>29.104695911139906</v>
      </c>
      <c r="F127" s="108">
        <f t="shared" ca="1" si="13"/>
        <v>31.79999999999999</v>
      </c>
      <c r="G127" s="108">
        <f t="shared" ca="1" si="13"/>
        <v>33.806811023052383</v>
      </c>
      <c r="H127" s="108">
        <f t="shared" ca="1" si="13"/>
        <v>35.457268005230318</v>
      </c>
    </row>
    <row r="129" spans="1:8" x14ac:dyDescent="0.3">
      <c r="A129" s="8" t="str">
        <f>Dist4</f>
        <v>United</v>
      </c>
    </row>
    <row r="130" spans="1:8" ht="15" x14ac:dyDescent="0.25">
      <c r="A130" s="158"/>
      <c r="B130" s="158"/>
      <c r="C130" s="158"/>
      <c r="D130" s="158"/>
      <c r="E130" s="158"/>
      <c r="F130" s="158"/>
      <c r="G130" s="158"/>
      <c r="H130" s="158"/>
    </row>
    <row r="131" spans="1:8" x14ac:dyDescent="0.3">
      <c r="A131" t="str">
        <f t="shared" ref="A131:A141" si="14">A116</f>
        <v>Transmission</v>
      </c>
      <c r="C131" t="s">
        <v>11</v>
      </c>
      <c r="D131" s="108">
        <f>IF(LEFT($A$129,5)="blank",0,D54/'Input Global'!D$21)</f>
        <v>0</v>
      </c>
      <c r="E131" s="108">
        <f>IF(LEFT($A$129,5)="blank",0,E54/'Input Global'!E$21)</f>
        <v>1.6561700596466677</v>
      </c>
      <c r="F131" s="108">
        <f>IF(LEFT($A$129,5)="blank",0,F54/'Input Global'!F$21)</f>
        <v>1.6910451791719194</v>
      </c>
      <c r="G131" s="108">
        <f>IF(LEFT($A$129,5)="blank",0,G54/'Input Global'!G$21)</f>
        <v>1.7266546882333278</v>
      </c>
      <c r="H131" s="108">
        <f>IF(LEFT($A$129,5)="blank",0,H54/'Input Global'!H$21)</f>
        <v>1.7630140513797794</v>
      </c>
    </row>
    <row r="132" spans="1:8" x14ac:dyDescent="0.3">
      <c r="A132" t="str">
        <f t="shared" si="14"/>
        <v>Distribution</v>
      </c>
      <c r="C132" t="s">
        <v>11</v>
      </c>
      <c r="D132" s="108">
        <f>IF(LEFT($A$129,5)="blank",0,D55/'Input Global'!D$21)</f>
        <v>0</v>
      </c>
      <c r="E132" s="108">
        <f>IF(LEFT($A$129,5)="blank",0,E55/'Input Global'!E$21)</f>
        <v>7.8178721046633237</v>
      </c>
      <c r="F132" s="108">
        <f>IF(LEFT($A$129,5)="blank",0,F55/'Input Global'!F$21)</f>
        <v>8.7512934004952605</v>
      </c>
      <c r="G132" s="108">
        <f>IF(LEFT($A$129,5)="blank",0,G55/'Input Global'!G$21)</f>
        <v>10.104781774798054</v>
      </c>
      <c r="H132" s="108">
        <f>IF(LEFT($A$129,5)="blank",0,H55/'Input Global'!H$21)</f>
        <v>11.630326020023276</v>
      </c>
    </row>
    <row r="133" spans="1:8" ht="15" x14ac:dyDescent="0.25">
      <c r="A133" s="158"/>
      <c r="B133" s="158"/>
      <c r="C133" s="158"/>
      <c r="D133" s="158"/>
      <c r="E133" s="158"/>
      <c r="F133" s="158"/>
      <c r="G133" s="158"/>
      <c r="H133" s="158"/>
    </row>
    <row r="134" spans="1:8" x14ac:dyDescent="0.3">
      <c r="A134" t="str">
        <f t="shared" si="14"/>
        <v>Retail and Wholesale</v>
      </c>
      <c r="C134" t="s">
        <v>11</v>
      </c>
      <c r="D134" s="108">
        <f ca="1">IF(LEFT($A$129,5)="blank",0,D57/'Input Global'!D$21)</f>
        <v>7.9244250313030822</v>
      </c>
      <c r="E134" s="108">
        <f ca="1">IF(LEFT($A$129,5)="blank",0,E57/'Input Global'!E$21)</f>
        <v>16.66593869433494</v>
      </c>
      <c r="F134" s="108">
        <f ca="1">IF(LEFT($A$129,5)="blank",0,F57/'Input Global'!F$21)</f>
        <v>16.524894287038475</v>
      </c>
      <c r="G134" s="108">
        <f ca="1">IF(LEFT($A$129,5)="blank",0,G57/'Input Global'!G$21)</f>
        <v>16.599895566980294</v>
      </c>
      <c r="H134" s="108">
        <f ca="1">IF(LEFT($A$129,5)="blank",0,H57/'Input Global'!H$21)</f>
        <v>16.942015617130178</v>
      </c>
    </row>
    <row r="135" spans="1:8" x14ac:dyDescent="0.3">
      <c r="A135" t="str">
        <f t="shared" si="14"/>
        <v>Green Schemes</v>
      </c>
      <c r="C135" t="s">
        <v>11</v>
      </c>
      <c r="D135" s="103"/>
      <c r="E135" s="103"/>
      <c r="F135" s="103"/>
      <c r="G135" s="103"/>
      <c r="H135" s="103"/>
    </row>
    <row r="136" spans="1:8" x14ac:dyDescent="0.3">
      <c r="A136" s="11" t="str">
        <f t="shared" si="14"/>
        <v>Feed-in Tariffs</v>
      </c>
      <c r="C136" t="s">
        <v>11</v>
      </c>
      <c r="D136" s="108">
        <f>IF(LEFT($A$129,5)="blank",0,D59/'Input Global'!D$21)</f>
        <v>0</v>
      </c>
      <c r="E136" s="108">
        <f>IF(LEFT($A$129,5)="blank",0,E59/'Input Global'!E$21)</f>
        <v>0.15430765050398682</v>
      </c>
      <c r="F136" s="108">
        <f>IF(LEFT($A$129,5)="blank",0,F59/'Input Global'!F$21)</f>
        <v>0.161765663221349</v>
      </c>
      <c r="G136" s="108">
        <f>IF(LEFT($A$129,5)="blank",0,G59/'Input Global'!G$21)</f>
        <v>0.17015864597230129</v>
      </c>
      <c r="H136" s="108">
        <f>IF(LEFT($A$129,5)="blank",0,H59/'Input Global'!H$21)</f>
        <v>0.17790955718780202</v>
      </c>
    </row>
    <row r="137" spans="1:8" x14ac:dyDescent="0.3">
      <c r="A137" s="11" t="str">
        <f t="shared" si="14"/>
        <v>Carbon costs</v>
      </c>
      <c r="C137" t="s">
        <v>11</v>
      </c>
      <c r="D137" s="108">
        <f ca="1">IF(LEFT($A$129,5)="blank",0,D60/'Input Global'!D$21)</f>
        <v>0</v>
      </c>
      <c r="E137" s="108">
        <f ca="1">IF(LEFT($A$129,5)="blank",0,E60/'Input Global'!E$21)</f>
        <v>0</v>
      </c>
      <c r="F137" s="108">
        <f ca="1">IF(LEFT($A$129,5)="blank",0,F60/'Input Global'!F$21)</f>
        <v>2.2400000000000002</v>
      </c>
      <c r="G137" s="108">
        <f ca="1">IF(LEFT($A$129,5)="blank",0,G60/'Input Global'!G$21)</f>
        <v>2.6546159050018265</v>
      </c>
      <c r="H137" s="108">
        <f ca="1">IF(LEFT($A$129,5)="blank",0,H60/'Input Global'!H$21)</f>
        <v>2.4956045363007444</v>
      </c>
    </row>
    <row r="138" spans="1:8" x14ac:dyDescent="0.3">
      <c r="A138" s="11" t="str">
        <f t="shared" si="14"/>
        <v>Large Scale Renewable Energy Target</v>
      </c>
      <c r="C138" t="s">
        <v>11</v>
      </c>
      <c r="D138" s="108">
        <f ca="1">IF(LEFT($A$129,5)="blank",0,D61/'Input Global'!D$21)</f>
        <v>0.25473754178777863</v>
      </c>
      <c r="E138" s="108">
        <f ca="1">IF(LEFT($A$129,5)="blank",0,E61/'Input Global'!E$21)</f>
        <v>0.44267417909205159</v>
      </c>
      <c r="F138" s="108">
        <f ca="1">IF(LEFT($A$129,5)="blank",0,F61/'Input Global'!F$21)</f>
        <v>0.6628193665535661</v>
      </c>
      <c r="G138" s="108">
        <f ca="1">IF(LEFT($A$129,5)="blank",0,G61/'Input Global'!G$21)</f>
        <v>0.71024845158378325</v>
      </c>
      <c r="H138" s="108">
        <f ca="1">IF(LEFT($A$129,5)="blank",0,H61/'Input Global'!H$21)</f>
        <v>0.7521221457524595</v>
      </c>
    </row>
    <row r="139" spans="1:8" x14ac:dyDescent="0.3">
      <c r="A139" s="11" t="str">
        <f t="shared" si="14"/>
        <v>Small Scale Renewable Energy Scheme</v>
      </c>
      <c r="C139" t="s">
        <v>11</v>
      </c>
      <c r="D139" s="108">
        <f ca="1">IF(LEFT($A$129,5)="blank",0,D62/'Input Global'!D$21)</f>
        <v>0.43999227350852893</v>
      </c>
      <c r="E139" s="108">
        <f ca="1">IF(LEFT($A$129,5)="blank",0,E62/'Input Global'!E$21)</f>
        <v>0.52897443353026441</v>
      </c>
      <c r="F139" s="108">
        <f ca="1">IF(LEFT($A$129,5)="blank",0,F62/'Input Global'!F$21)</f>
        <v>0.2881821035194338</v>
      </c>
      <c r="G139" s="108">
        <f ca="1">IF(LEFT($A$129,5)="blank",0,G62/'Input Global'!G$21)</f>
        <v>0.12683626123551256</v>
      </c>
      <c r="H139" s="108">
        <f ca="1">IF(LEFT($A$129,5)="blank",0,H62/'Input Global'!H$21)</f>
        <v>0.11021384523313771</v>
      </c>
    </row>
    <row r="140" spans="1:8" x14ac:dyDescent="0.3">
      <c r="A140" s="11" t="str">
        <f t="shared" si="14"/>
        <v>Energy Saver Incentive</v>
      </c>
      <c r="C140" t="s">
        <v>11</v>
      </c>
      <c r="D140" s="108">
        <f ca="1">IF(LEFT($A$129,5)="blank",0,D63/'Input Global'!D$21)</f>
        <v>0.39</v>
      </c>
      <c r="E140" s="108">
        <f ca="1">IF(LEFT($A$129,5)="blank",0,E63/'Input Global'!E$21)</f>
        <v>0.39</v>
      </c>
      <c r="F140" s="108">
        <f ca="1">IF(LEFT($A$129,5)="blank",0,F63/'Input Global'!F$21)</f>
        <v>0.38</v>
      </c>
      <c r="G140" s="108">
        <f ca="1">IF(LEFT($A$129,5)="blank",0,G63/'Input Global'!G$21)</f>
        <v>0.38</v>
      </c>
      <c r="H140" s="108">
        <f ca="1">IF(LEFT($A$129,5)="blank",0,H63/'Input Global'!H$21)</f>
        <v>0.38</v>
      </c>
    </row>
    <row r="141" spans="1:8" x14ac:dyDescent="0.3">
      <c r="A141" s="11" t="str">
        <f t="shared" si="14"/>
        <v>blank</v>
      </c>
      <c r="C141" t="s">
        <v>11</v>
      </c>
      <c r="D141" s="108">
        <f ca="1">IF(LEFT($A$129,5)="blank",0,D64/'Input Global'!D$21)</f>
        <v>0</v>
      </c>
      <c r="E141" s="108">
        <f ca="1">IF(LEFT($A$129,5)="blank",0,E64/'Input Global'!E$21)</f>
        <v>0</v>
      </c>
      <c r="F141" s="108">
        <f ca="1">IF(LEFT($A$129,5)="blank",0,F64/'Input Global'!F$21)</f>
        <v>0</v>
      </c>
      <c r="G141" s="108">
        <f ca="1">IF(LEFT($A$129,5)="blank",0,G64/'Input Global'!G$21)</f>
        <v>0</v>
      </c>
      <c r="H141" s="108">
        <f ca="1">IF(LEFT($A$129,5)="blank",0,H64/'Input Global'!H$21)</f>
        <v>0</v>
      </c>
    </row>
    <row r="142" spans="1:8" x14ac:dyDescent="0.3">
      <c r="A142" s="12" t="s">
        <v>53</v>
      </c>
      <c r="B142" s="12"/>
      <c r="C142" s="12" t="s">
        <v>11</v>
      </c>
      <c r="D142" s="108">
        <f ca="1">SUM(D130:D141)</f>
        <v>9.0091548465993903</v>
      </c>
      <c r="E142" s="108">
        <f t="shared" ref="E142:H142" ca="1" si="15">SUM(E130:E141)</f>
        <v>27.655937121771238</v>
      </c>
      <c r="F142" s="108">
        <f t="shared" ca="1" si="15"/>
        <v>30.700000000000003</v>
      </c>
      <c r="G142" s="108">
        <f t="shared" ca="1" si="15"/>
        <v>32.473191293805101</v>
      </c>
      <c r="H142" s="108">
        <f t="shared" ca="1" si="15"/>
        <v>34.251205773007385</v>
      </c>
    </row>
    <row r="144" spans="1:8" x14ac:dyDescent="0.3">
      <c r="A144" s="8" t="str">
        <f>Dist5</f>
        <v>Jemena</v>
      </c>
    </row>
    <row r="145" spans="1:8" ht="15" x14ac:dyDescent="0.25">
      <c r="A145" s="158"/>
      <c r="B145" s="158"/>
      <c r="C145" s="158"/>
      <c r="D145" s="158"/>
      <c r="E145" s="158"/>
      <c r="F145" s="158"/>
      <c r="G145" s="158"/>
      <c r="H145" s="158"/>
    </row>
    <row r="146" spans="1:8" x14ac:dyDescent="0.3">
      <c r="A146" t="str">
        <f t="shared" ref="A146:A156" si="16">A131</f>
        <v>Transmission</v>
      </c>
      <c r="C146" t="s">
        <v>11</v>
      </c>
      <c r="D146" s="108">
        <f>IF(LEFT($A$144,5)="blank",0,D69/'Input Global'!D$22)</f>
        <v>0</v>
      </c>
      <c r="E146" s="108">
        <f>IF(LEFT($A$144,5)="blank",0,E69/'Input Global'!E$22)</f>
        <v>1.0040285135037108</v>
      </c>
      <c r="F146" s="108">
        <f>IF(LEFT($A$144,5)="blank",0,F69/'Input Global'!F$22)</f>
        <v>1.0268033134482082</v>
      </c>
      <c r="G146" s="108">
        <f>IF(LEFT($A$144,5)="blank",0,G69/'Input Global'!G$22)</f>
        <v>1.0503894710336108</v>
      </c>
      <c r="H146" s="108">
        <f>IF(LEFT($A$144,5)="blank",0,H69/'Input Global'!H$22)</f>
        <v>1.074081486041951</v>
      </c>
    </row>
    <row r="147" spans="1:8" x14ac:dyDescent="0.3">
      <c r="A147" t="str">
        <f t="shared" si="16"/>
        <v>Distribution</v>
      </c>
      <c r="C147" t="s">
        <v>11</v>
      </c>
      <c r="D147" s="108">
        <f>IF(LEFT($A$144,5)="blank",0,D70/'Input Global'!D$22)</f>
        <v>0</v>
      </c>
      <c r="E147" s="108">
        <f>IF(LEFT($A$144,5)="blank",0,E70/'Input Global'!E$22)</f>
        <v>9.8414227231675628</v>
      </c>
      <c r="F147" s="108">
        <f>IF(LEFT($A$144,5)="blank",0,F70/'Input Global'!F$22)</f>
        <v>10.825812367061719</v>
      </c>
      <c r="G147" s="108">
        <f>IF(LEFT($A$144,5)="blank",0,G70/'Input Global'!G$22)</f>
        <v>11.712147400082355</v>
      </c>
      <c r="H147" s="108">
        <f>IF(LEFT($A$144,5)="blank",0,H70/'Input Global'!H$22)</f>
        <v>12.348140869279707</v>
      </c>
    </row>
    <row r="148" spans="1:8" ht="15" x14ac:dyDescent="0.25">
      <c r="A148" s="158"/>
      <c r="B148" s="158"/>
      <c r="C148" s="158"/>
      <c r="D148" s="158"/>
      <c r="E148" s="158"/>
      <c r="F148" s="158"/>
      <c r="G148" s="158"/>
      <c r="H148" s="158"/>
    </row>
    <row r="149" spans="1:8" x14ac:dyDescent="0.3">
      <c r="A149" t="str">
        <f t="shared" si="16"/>
        <v>Retail and Wholesale</v>
      </c>
      <c r="C149" t="s">
        <v>11</v>
      </c>
      <c r="D149" s="108">
        <f ca="1">IF(LEFT($A$144,5)="blank",0,D72/'Input Global'!D$22)</f>
        <v>7.8082776975079664</v>
      </c>
      <c r="E149" s="108">
        <f ca="1">IF(LEFT($A$144,5)="blank",0,E72/'Input Global'!E$22)</f>
        <v>16.878563098428042</v>
      </c>
      <c r="F149" s="108">
        <f ca="1">IF(LEFT($A$144,5)="blank",0,F72/'Input Global'!F$22)</f>
        <v>20.587129094662011</v>
      </c>
      <c r="G149" s="108">
        <f ca="1">IF(LEFT($A$144,5)="blank",0,G72/'Input Global'!G$22)</f>
        <v>20.592624948387122</v>
      </c>
      <c r="H149" s="108">
        <f ca="1">IF(LEFT($A$144,5)="blank",0,H72/'Input Global'!H$22)</f>
        <v>20.680094312220998</v>
      </c>
    </row>
    <row r="150" spans="1:8" x14ac:dyDescent="0.3">
      <c r="A150" t="str">
        <f t="shared" si="16"/>
        <v>Green Schemes</v>
      </c>
      <c r="C150" t="s">
        <v>11</v>
      </c>
      <c r="D150" s="103"/>
      <c r="E150" s="103"/>
      <c r="F150" s="103"/>
      <c r="G150" s="103"/>
      <c r="H150" s="103"/>
    </row>
    <row r="151" spans="1:8" x14ac:dyDescent="0.3">
      <c r="A151" s="11" t="str">
        <f t="shared" si="16"/>
        <v>Feed-in Tariffs</v>
      </c>
      <c r="C151" t="s">
        <v>11</v>
      </c>
      <c r="D151" s="108">
        <f>IF(LEFT($A$144,5)="blank",0,D74/'Input Global'!D$22)</f>
        <v>0</v>
      </c>
      <c r="E151" s="108">
        <f>IF(LEFT($A$144,5)="blank",0,E74/'Input Global'!E$22)</f>
        <v>4.9000000000000002E-2</v>
      </c>
      <c r="F151" s="108">
        <f>IF(LEFT($A$144,5)="blank",0,F74/'Input Global'!F$22)</f>
        <v>5.0224999999999999E-2</v>
      </c>
      <c r="G151" s="108">
        <f>IF(LEFT($A$144,5)="blank",0,G74/'Input Global'!G$22)</f>
        <v>5.1480624999999988E-2</v>
      </c>
      <c r="H151" s="108">
        <f>IF(LEFT($A$144,5)="blank",0,H74/'Input Global'!H$22)</f>
        <v>5.276764062499998E-2</v>
      </c>
    </row>
    <row r="152" spans="1:8" x14ac:dyDescent="0.3">
      <c r="A152" s="11" t="str">
        <f t="shared" si="16"/>
        <v>Carbon costs</v>
      </c>
      <c r="C152" t="s">
        <v>11</v>
      </c>
      <c r="D152" s="108">
        <f ca="1">IF(LEFT($A$144,5)="blank",0,D75/'Input Global'!D$22)</f>
        <v>0</v>
      </c>
      <c r="E152" s="108">
        <f ca="1">IF(LEFT($A$144,5)="blank",0,E75/'Input Global'!E$22)</f>
        <v>0</v>
      </c>
      <c r="F152" s="108">
        <f ca="1">IF(LEFT($A$144,5)="blank",0,F75/'Input Global'!F$22)</f>
        <v>2.2400000000000002</v>
      </c>
      <c r="G152" s="108">
        <f ca="1">IF(LEFT($A$144,5)="blank",0,G75/'Input Global'!G$22)</f>
        <v>2.6565469063281641</v>
      </c>
      <c r="H152" s="108">
        <f ca="1">IF(LEFT($A$144,5)="blank",0,H75/'Input Global'!H$22)</f>
        <v>2.4959495019666473</v>
      </c>
    </row>
    <row r="153" spans="1:8" x14ac:dyDescent="0.3">
      <c r="A153" s="11" t="str">
        <f t="shared" si="16"/>
        <v>Large Scale Renewable Energy Target</v>
      </c>
      <c r="C153" t="s">
        <v>11</v>
      </c>
      <c r="D153" s="108">
        <f ca="1">IF(LEFT($A$144,5)="blank",0,D76/'Input Global'!D$22)</f>
        <v>0.25473754178777863</v>
      </c>
      <c r="E153" s="108">
        <f ca="1">IF(LEFT($A$144,5)="blank",0,E76/'Input Global'!E$22)</f>
        <v>0.44267417909205159</v>
      </c>
      <c r="F153" s="108">
        <f ca="1">IF(LEFT($A$144,5)="blank",0,F76/'Input Global'!F$22)</f>
        <v>0.6628193665535661</v>
      </c>
      <c r="G153" s="108">
        <f ca="1">IF(LEFT($A$144,5)="blank",0,G76/'Input Global'!G$22)</f>
        <v>0.71024845158378325</v>
      </c>
      <c r="H153" s="108">
        <f ca="1">IF(LEFT($A$144,5)="blank",0,H76/'Input Global'!H$22)</f>
        <v>0.7521221457524595</v>
      </c>
    </row>
    <row r="154" spans="1:8" x14ac:dyDescent="0.3">
      <c r="A154" s="11" t="str">
        <f t="shared" si="16"/>
        <v>Small Scale Renewable Energy Scheme</v>
      </c>
      <c r="C154" t="s">
        <v>11</v>
      </c>
      <c r="D154" s="108">
        <f ca="1">IF(LEFT($A$144,5)="blank",0,D77/'Input Global'!D$22)</f>
        <v>0.43999227350852893</v>
      </c>
      <c r="E154" s="108">
        <f ca="1">IF(LEFT($A$144,5)="blank",0,E77/'Input Global'!E$22)</f>
        <v>0.52897443353026441</v>
      </c>
      <c r="F154" s="108">
        <f ca="1">IF(LEFT($A$144,5)="blank",0,F77/'Input Global'!F$22)</f>
        <v>0.2881821035194338</v>
      </c>
      <c r="G154" s="108">
        <f ca="1">IF(LEFT($A$144,5)="blank",0,G77/'Input Global'!G$22)</f>
        <v>0.12683626123551256</v>
      </c>
      <c r="H154" s="108">
        <f ca="1">IF(LEFT($A$144,5)="blank",0,H77/'Input Global'!H$22)</f>
        <v>0.11021384523313771</v>
      </c>
    </row>
    <row r="155" spans="1:8" x14ac:dyDescent="0.3">
      <c r="A155" s="11" t="str">
        <f t="shared" si="16"/>
        <v>Energy Saver Incentive</v>
      </c>
      <c r="C155" t="s">
        <v>11</v>
      </c>
      <c r="D155" s="108">
        <f ca="1">IF(LEFT($A$144,5)="blank",0,D78/'Input Global'!D$22)</f>
        <v>0.39</v>
      </c>
      <c r="E155" s="108">
        <f ca="1">IF(LEFT($A$144,5)="blank",0,E78/'Input Global'!E$22)</f>
        <v>0.39</v>
      </c>
      <c r="F155" s="108">
        <f ca="1">IF(LEFT($A$144,5)="blank",0,F78/'Input Global'!F$22)</f>
        <v>0.38</v>
      </c>
      <c r="G155" s="108">
        <f ca="1">IF(LEFT($A$144,5)="blank",0,G78/'Input Global'!G$22)</f>
        <v>0.38</v>
      </c>
      <c r="H155" s="108">
        <f ca="1">IF(LEFT($A$144,5)="blank",0,H78/'Input Global'!H$22)</f>
        <v>0.38</v>
      </c>
    </row>
    <row r="156" spans="1:8" x14ac:dyDescent="0.3">
      <c r="A156" s="11" t="str">
        <f t="shared" si="16"/>
        <v>blank</v>
      </c>
      <c r="C156" t="s">
        <v>11</v>
      </c>
      <c r="D156" s="108">
        <f ca="1">IF(LEFT($A$144,5)="blank",0,D79/'Input Global'!D$22)</f>
        <v>0</v>
      </c>
      <c r="E156" s="108">
        <f ca="1">IF(LEFT($A$144,5)="blank",0,E79/'Input Global'!E$22)</f>
        <v>0</v>
      </c>
      <c r="F156" s="108">
        <f ca="1">IF(LEFT($A$144,5)="blank",0,F79/'Input Global'!F$22)</f>
        <v>0</v>
      </c>
      <c r="G156" s="108">
        <f ca="1">IF(LEFT($A$144,5)="blank",0,G79/'Input Global'!G$22)</f>
        <v>0</v>
      </c>
      <c r="H156" s="108">
        <f ca="1">IF(LEFT($A$144,5)="blank",0,H79/'Input Global'!H$22)</f>
        <v>0</v>
      </c>
    </row>
    <row r="157" spans="1:8" x14ac:dyDescent="0.3">
      <c r="A157" s="12" t="s">
        <v>53</v>
      </c>
      <c r="B157" s="12"/>
      <c r="C157" s="12" t="s">
        <v>11</v>
      </c>
      <c r="D157" s="108">
        <f ca="1">SUM(D145:D156)</f>
        <v>8.8930075128042745</v>
      </c>
      <c r="E157" s="108">
        <f t="shared" ref="E157:H157" ca="1" si="17">SUM(E145:E156)</f>
        <v>29.134662947721633</v>
      </c>
      <c r="F157" s="108">
        <f t="shared" ca="1" si="17"/>
        <v>36.060971245244936</v>
      </c>
      <c r="G157" s="108">
        <f t="shared" ca="1" si="17"/>
        <v>37.280274063650552</v>
      </c>
      <c r="H157" s="108">
        <f t="shared" ca="1" si="17"/>
        <v>37.893369801119903</v>
      </c>
    </row>
    <row r="159" spans="1:8" ht="18.75" x14ac:dyDescent="0.3">
      <c r="A159" s="1" t="s">
        <v>66</v>
      </c>
    </row>
    <row r="160" spans="1:8" x14ac:dyDescent="0.3">
      <c r="A160" t="str">
        <f>Dist1</f>
        <v>Citipower</v>
      </c>
      <c r="B160" t="s">
        <v>36</v>
      </c>
      <c r="C160" t="s">
        <v>22</v>
      </c>
      <c r="D160" s="109">
        <f>'Input Global'!D25/'Input Global'!D$30</f>
        <v>0.10272024643169531</v>
      </c>
      <c r="E160" s="109">
        <f>'Input Global'!E25/'Input Global'!E$30</f>
        <v>0.10247739049784825</v>
      </c>
      <c r="F160" s="109">
        <f>'Input Global'!F25/'Input Global'!F$30</f>
        <v>0.10188672972259502</v>
      </c>
      <c r="G160" s="109">
        <f>'Input Global'!G25/'Input Global'!G$30</f>
        <v>0.1012396121372746</v>
      </c>
      <c r="H160" s="109">
        <f>'Input Global'!H25/'Input Global'!H$30</f>
        <v>0.10090806788173845</v>
      </c>
    </row>
    <row r="161" spans="1:8" x14ac:dyDescent="0.3">
      <c r="A161" t="str">
        <f>Dist2</f>
        <v>Powercor</v>
      </c>
      <c r="B161" t="s">
        <v>36</v>
      </c>
      <c r="C161" t="s">
        <v>22</v>
      </c>
      <c r="D161" s="109">
        <f>'Input Global'!D26/'Input Global'!D$30</f>
        <v>0.26528704439176137</v>
      </c>
      <c r="E161" s="109">
        <f>'Input Global'!E26/'Input Global'!E$30</f>
        <v>0.26688783896508689</v>
      </c>
      <c r="F161" s="109">
        <f>'Input Global'!F26/'Input Global'!F$30</f>
        <v>0.26867554005988326</v>
      </c>
      <c r="G161" s="109">
        <f>'Input Global'!G26/'Input Global'!G$30</f>
        <v>0.27068858433367066</v>
      </c>
      <c r="H161" s="109">
        <f>'Input Global'!H26/'Input Global'!H$30</f>
        <v>0.27257402811011694</v>
      </c>
    </row>
    <row r="162" spans="1:8" x14ac:dyDescent="0.3">
      <c r="A162" t="str">
        <f>Dist3</f>
        <v>SP Ausnet</v>
      </c>
      <c r="B162" t="s">
        <v>36</v>
      </c>
      <c r="C162" t="s">
        <v>22</v>
      </c>
      <c r="D162" s="109">
        <f>'Input Global'!D27/'Input Global'!D$30</f>
        <v>0.21743277923006957</v>
      </c>
      <c r="E162" s="109">
        <f>'Input Global'!E27/'Input Global'!E$30</f>
        <v>0.21875450325303131</v>
      </c>
      <c r="F162" s="109">
        <f>'Input Global'!F27/'Input Global'!F$30</f>
        <v>0.22016442193759983</v>
      </c>
      <c r="G162" s="109">
        <f>'Input Global'!G27/'Input Global'!G$30</f>
        <v>0.22133700993839256</v>
      </c>
      <c r="H162" s="109">
        <f>'Input Global'!H27/'Input Global'!H$30</f>
        <v>0.22232137015211889</v>
      </c>
    </row>
    <row r="163" spans="1:8" x14ac:dyDescent="0.3">
      <c r="A163" t="str">
        <f>Dist4</f>
        <v>United</v>
      </c>
      <c r="B163" t="s">
        <v>36</v>
      </c>
      <c r="C163" t="s">
        <v>22</v>
      </c>
      <c r="D163" s="109">
        <f>'Input Global'!D28/'Input Global'!D$30</f>
        <v>0.27803821300861098</v>
      </c>
      <c r="E163" s="109">
        <f>'Input Global'!E28/'Input Global'!E$30</f>
        <v>0.27579462361978679</v>
      </c>
      <c r="F163" s="109">
        <f>'Input Global'!F28/'Input Global'!F$30</f>
        <v>0.27366096205609564</v>
      </c>
      <c r="G163" s="109">
        <f>'Input Global'!G28/'Input Global'!G$30</f>
        <v>0.27165615253712266</v>
      </c>
      <c r="H163" s="109">
        <f>'Input Global'!H28/'Input Global'!H$30</f>
        <v>0.26967117275357122</v>
      </c>
    </row>
    <row r="164" spans="1:8" x14ac:dyDescent="0.3">
      <c r="A164" t="str">
        <f>Dist5</f>
        <v>Jemena</v>
      </c>
      <c r="B164" t="s">
        <v>36</v>
      </c>
      <c r="C164" t="s">
        <v>22</v>
      </c>
      <c r="D164" s="109">
        <f>'Input Global'!D29/'Input Global'!D$30</f>
        <v>0.13652171693786272</v>
      </c>
      <c r="E164" s="109">
        <f>'Input Global'!E29/'Input Global'!E$30</f>
        <v>0.13608564366424677</v>
      </c>
      <c r="F164" s="109">
        <f>'Input Global'!F29/'Input Global'!F$30</f>
        <v>0.1356123462238262</v>
      </c>
      <c r="G164" s="109">
        <f>'Input Global'!G29/'Input Global'!G$30</f>
        <v>0.13507864105353951</v>
      </c>
      <c r="H164" s="109">
        <f>'Input Global'!H29/'Input Global'!H$30</f>
        <v>0.13452536110245453</v>
      </c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1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62</vt:i4>
      </vt:variant>
    </vt:vector>
  </HeadingPairs>
  <TitlesOfParts>
    <vt:vector size="72" baseType="lpstr">
      <vt:lpstr>Index</vt:lpstr>
      <vt:lpstr>Input Global</vt:lpstr>
      <vt:lpstr>Input Frontier</vt:lpstr>
      <vt:lpstr>Input General</vt:lpstr>
      <vt:lpstr>Calc (Jurisdiction)</vt:lpstr>
      <vt:lpstr>Calc (LRMC Planning case)</vt:lpstr>
      <vt:lpstr>Calc (LRMC Slow Rate)</vt:lpstr>
      <vt:lpstr>Calc (Market Planning Case)</vt:lpstr>
      <vt:lpstr>Calc (Market Slow Rate)</vt:lpstr>
      <vt:lpstr>Output</vt:lpstr>
      <vt:lpstr>Dist1</vt:lpstr>
      <vt:lpstr>Dist1Frontier</vt:lpstr>
      <vt:lpstr>dist1LRET</vt:lpstr>
      <vt:lpstr>dist1Retail</vt:lpstr>
      <vt:lpstr>dist1scheme1</vt:lpstr>
      <vt:lpstr>dist1scheme2</vt:lpstr>
      <vt:lpstr>dist1wholesale</vt:lpstr>
      <vt:lpstr>Dist1X</vt:lpstr>
      <vt:lpstr>Dist2</vt:lpstr>
      <vt:lpstr>dist2frontier</vt:lpstr>
      <vt:lpstr>Dist2LRET</vt:lpstr>
      <vt:lpstr>dist2Retail</vt:lpstr>
      <vt:lpstr>dist2scheme1</vt:lpstr>
      <vt:lpstr>dist2scheme2</vt:lpstr>
      <vt:lpstr>dist2wholesale</vt:lpstr>
      <vt:lpstr>Dist2X</vt:lpstr>
      <vt:lpstr>Dist3</vt:lpstr>
      <vt:lpstr>dist3frontier</vt:lpstr>
      <vt:lpstr>Dist3LRET</vt:lpstr>
      <vt:lpstr>dist3retail</vt:lpstr>
      <vt:lpstr>dist3scheme1</vt:lpstr>
      <vt:lpstr>dist3scheme2</vt:lpstr>
      <vt:lpstr>dist3wholesale</vt:lpstr>
      <vt:lpstr>Dist3X</vt:lpstr>
      <vt:lpstr>Dist4</vt:lpstr>
      <vt:lpstr>Dist4frontier</vt:lpstr>
      <vt:lpstr>Dist4LRET</vt:lpstr>
      <vt:lpstr>dist4retail</vt:lpstr>
      <vt:lpstr>dist4scheme1</vt:lpstr>
      <vt:lpstr>dist4scheme2</vt:lpstr>
      <vt:lpstr>dist4wholesale</vt:lpstr>
      <vt:lpstr>Dist4X</vt:lpstr>
      <vt:lpstr>Dist5</vt:lpstr>
      <vt:lpstr>dist5frontier</vt:lpstr>
      <vt:lpstr>Dist5LRET</vt:lpstr>
      <vt:lpstr>dist5retail</vt:lpstr>
      <vt:lpstr>dist5scheme1</vt:lpstr>
      <vt:lpstr>dist5scheme2</vt:lpstr>
      <vt:lpstr>dist5wholesale</vt:lpstr>
      <vt:lpstr>Dist5X</vt:lpstr>
      <vt:lpstr>inflation</vt:lpstr>
      <vt:lpstr>'Calc (Jurisdiction)'!Print_Area</vt:lpstr>
      <vt:lpstr>'Calc (LRMC Planning case)'!Print_Area</vt:lpstr>
      <vt:lpstr>'Calc (LRMC Slow Rate)'!Print_Area</vt:lpstr>
      <vt:lpstr>'Calc (Market Planning Case)'!Print_Area</vt:lpstr>
      <vt:lpstr>'Calc (Market Slow Rate)'!Print_Area</vt:lpstr>
      <vt:lpstr>Index!Print_Area</vt:lpstr>
      <vt:lpstr>'Input Global'!Print_Area</vt:lpstr>
      <vt:lpstr>Output!Print_Area</vt:lpstr>
      <vt:lpstr>'Calc (Jurisdiction)'!Print_Titles</vt:lpstr>
      <vt:lpstr>'Calc (LRMC Planning case)'!Print_Titles</vt:lpstr>
      <vt:lpstr>'Calc (LRMC Slow Rate)'!Print_Titles</vt:lpstr>
      <vt:lpstr>'Calc (Market Planning Case)'!Print_Titles</vt:lpstr>
      <vt:lpstr>'Calc (Market Slow Rate)'!Print_Titles</vt:lpstr>
      <vt:lpstr>Index!Print_Titles</vt:lpstr>
      <vt:lpstr>'Input General'!Print_Titles</vt:lpstr>
      <vt:lpstr>'Input Global'!Print_Titles</vt:lpstr>
      <vt:lpstr>Output!Print_Titles</vt:lpstr>
      <vt:lpstr>Scheme1</vt:lpstr>
      <vt:lpstr>Scheme2</vt:lpstr>
      <vt:lpstr>TNSP</vt:lpstr>
      <vt:lpstr>Transmission</vt:lpstr>
    </vt:vector>
  </TitlesOfParts>
  <Company>Australian Energy Market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Allen</dc:creator>
  <cp:lastModifiedBy>Mark Allen</cp:lastModifiedBy>
  <cp:lastPrinted>2012-11-19T00:21:37Z</cp:lastPrinted>
  <dcterms:created xsi:type="dcterms:W3CDTF">2012-09-12T05:37:03Z</dcterms:created>
  <dcterms:modified xsi:type="dcterms:W3CDTF">2013-06-18T23:47:36Z</dcterms:modified>
</cp:coreProperties>
</file>