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chartsheets/sheet1.xml" ContentType="application/vnd.openxmlformats-officedocument.spreadsheetml.chart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2.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ctrlProps/ctrlProp2.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4.xml" ContentType="application/vnd.openxmlformats-officedocument.spreadsheetml.comments+xml"/>
  <Override PartName="/xl/threadedComments/threadedComment2.xml" ContentType="application/vnd.ms-excel.threaded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omments5.xml" ContentType="application/vnd.openxmlformats-officedocument.spreadsheetml.comments+xml"/>
  <Override PartName="/xl/comments6.xml" ContentType="application/vnd.openxmlformats-officedocument.spreadsheetml.comments+xml"/>
  <Override PartName="/xl/drawings/drawing6.xml" ContentType="application/vnd.openxmlformats-officedocument.drawing+xml"/>
  <Override PartName="/xl/comments7.xml" ContentType="application/vnd.openxmlformats-officedocument.spreadsheetml.comments+xml"/>
  <Override PartName="/xl/threadedComments/threadedComment3.xml" ContentType="application/vnd.ms-excel.threadedcomments+xml"/>
  <Override PartName="/xl/drawings/drawing7.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omments8.xml" ContentType="application/vnd.openxmlformats-officedocument.spreadsheetml.comments+xml"/>
  <Override PartName="/xl/threadedComments/threadedComment4.xml" ContentType="application/vnd.ms-excel.threadedcomments+xml"/>
  <Override PartName="/xl/drawings/drawing8.xml" ContentType="application/vnd.openxmlformats-officedocument.drawing+xml"/>
  <Override PartName="/xl/comments9.xml" ContentType="application/vnd.openxmlformats-officedocument.spreadsheetml.comments+xml"/>
  <Override PartName="/xl/threadedComments/threadedComment5.xml" ContentType="application/vnd.ms-excel.threadedcomment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omments10.xml" ContentType="application/vnd.openxmlformats-officedocument.spreadsheetml.comments+xml"/>
  <Override PartName="/xl/threadedComments/threadedComment6.xml" ContentType="application/vnd.ms-excel.threadedcomments+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5"/>
  <workbookPr/>
  <mc:AlternateContent xmlns:mc="http://schemas.openxmlformats.org/markup-compatibility/2006">
    <mc:Choice Requires="x15">
      <x15ac:absPath xmlns:x15ac="http://schemas.microsoft.com/office/spreadsheetml/2010/11/ac" url="https://mymailunisaedu-my.sharepoint.com/personal/smihl004_mymail_unisa_edu_au/Documents/Documents/PhD/tariffs/"/>
    </mc:Choice>
  </mc:AlternateContent>
  <xr:revisionPtr revIDLastSave="0" documentId="8_{1A33A48E-AE62-4C68-93DD-CDE67CB19F83}" xr6:coauthVersionLast="47" xr6:coauthVersionMax="47" xr10:uidLastSave="{00000000-0000-0000-0000-000000000000}"/>
  <bookViews>
    <workbookView xWindow="-80" yWindow="-80" windowWidth="19360" windowHeight="10240" firstSheet="3" activeTab="3" xr2:uid="{55C0BA6A-1D58-4452-8C1F-37759BA19EF2}"/>
  </bookViews>
  <sheets>
    <sheet name="Welcome" sheetId="1" r:id="rId1"/>
    <sheet name="Background" sheetId="2" state="hidden" r:id="rId2"/>
    <sheet name="Instructions" sheetId="3" r:id="rId3"/>
    <sheet name="1. Choose State" sheetId="5" r:id="rId4"/>
    <sheet name="2. Check Reference Home" sheetId="7" r:id="rId5"/>
    <sheet name="3. Charges" sheetId="8" r:id="rId6"/>
    <sheet name="4. Calculator" sheetId="9" r:id="rId7"/>
    <sheet name="5. Easing in Change" sheetId="13" r:id="rId8"/>
    <sheet name="6. Transition Together " sheetId="10" r:id="rId9"/>
    <sheet name="7. Exploring Cross Subsidies" sheetId="12" r:id="rId10"/>
    <sheet name="Comparison Chart" sheetId="14" r:id="rId11"/>
    <sheet name="Lookups" sheetId="6" r:id="rId12"/>
    <sheet name="Different homes" sheetId="11" state="hidden" r:id="rId13"/>
    <sheet name="SA Residential data" sheetId="4" state="hidden" r:id="rId14"/>
  </sheets>
  <externalReferences>
    <externalReference r:id="rId15"/>
  </externalReferences>
  <definedNames>
    <definedName name="Charges">Lookups!$A$32:$I$42</definedName>
    <definedName name="emissions3">[1]lookups!$A$82:$D$91</definedName>
    <definedName name="households">[1]lookups!$A$82:$E$91</definedName>
    <definedName name="howsharp">Lookups!$A$93:$A$95</definedName>
    <definedName name="Juridata">Lookups!$A$3:$Y$28</definedName>
    <definedName name="Juridata2">Lookups!$A$3:$AO$28</definedName>
    <definedName name="Jurisdata3">Lookups!$A$3:$AP$30</definedName>
    <definedName name="Jurisdictions">Lookups!$A$3:$A$28</definedName>
    <definedName name="Jurisdictionsplus">Lookups!$A$3:$A$29</definedName>
    <definedName name="peakstructure">Lookups!$A$85:$A$88</definedName>
    <definedName name="prices">[1]lookups!$B$105:$I$114</definedName>
    <definedName name="remainder">Lookups!$A$107:$A$110</definedName>
    <definedName name="resisahre2">[1]lookups!$D$116:$M$135</definedName>
    <definedName name="resishare">[1]lookups!$D$116:$M$122</definedName>
    <definedName name="RetailJO">Lookups!$D$45:$H$52</definedName>
    <definedName name="RetailJO2">Lookups!$D$45:$H$55</definedName>
    <definedName name="statehomes">Lookups!$D$45:$J$54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4" i="5" l="1"/>
  <c r="D43" i="5"/>
  <c r="D41" i="5"/>
  <c r="K4" i="5" a="1"/>
  <c r="K4" i="5" s="1"/>
  <c r="H54" i="6"/>
  <c r="H55" i="6"/>
  <c r="H53" i="6"/>
  <c r="H50" i="6"/>
  <c r="H46" i="6"/>
  <c r="G55" i="6"/>
  <c r="G54" i="6"/>
  <c r="G53" i="6"/>
  <c r="M53" i="6"/>
  <c r="M54" i="6"/>
  <c r="M46" i="6"/>
  <c r="M47" i="6"/>
  <c r="M48" i="6"/>
  <c r="M49" i="6"/>
  <c r="M50" i="6"/>
  <c r="M51" i="6"/>
  <c r="M52" i="6"/>
  <c r="M45" i="6"/>
  <c r="F53" i="6"/>
  <c r="F54" i="6"/>
  <c r="F55" i="6"/>
  <c r="E54" i="6"/>
  <c r="E53" i="6"/>
  <c r="L54" i="6"/>
  <c r="L53" i="6"/>
  <c r="L46" i="6"/>
  <c r="L47" i="6"/>
  <c r="L48" i="6"/>
  <c r="L49" i="6"/>
  <c r="L50" i="6"/>
  <c r="L51" i="6"/>
  <c r="L52" i="6"/>
  <c r="L45" i="6"/>
  <c r="F45" i="6"/>
  <c r="CC19" i="11" l="1"/>
  <c r="O21" i="11"/>
  <c r="AA21" i="11" s="1"/>
  <c r="K21" i="11"/>
  <c r="Z21" i="11" s="1"/>
  <c r="T21" i="11"/>
  <c r="W21" i="11" s="1"/>
  <c r="S21" i="11"/>
  <c r="X189" i="6"/>
  <c r="W189" i="6"/>
  <c r="R191" i="6"/>
  <c r="Q191" i="6"/>
  <c r="I208" i="6"/>
  <c r="I203" i="6"/>
  <c r="I204" i="6"/>
  <c r="I205" i="6"/>
  <c r="I206" i="6"/>
  <c r="I207" i="6"/>
  <c r="I190" i="6"/>
  <c r="I191" i="6"/>
  <c r="J191" i="6"/>
  <c r="I192" i="6"/>
  <c r="I193" i="6"/>
  <c r="I194" i="6"/>
  <c r="I195" i="6"/>
  <c r="J195" i="6"/>
  <c r="I196" i="6"/>
  <c r="I197" i="6"/>
  <c r="J197" i="6"/>
  <c r="I198" i="6"/>
  <c r="I199" i="6"/>
  <c r="I200" i="6"/>
  <c r="J200" i="6"/>
  <c r="I201" i="6"/>
  <c r="I202" i="6"/>
  <c r="J202" i="6"/>
  <c r="I185" i="6"/>
  <c r="J185" i="6"/>
  <c r="I186" i="6"/>
  <c r="I187" i="6"/>
  <c r="I188" i="6"/>
  <c r="I189" i="6"/>
  <c r="J189" i="6"/>
  <c r="I184" i="6"/>
  <c r="AO178" i="6"/>
  <c r="AP178" i="6"/>
  <c r="AO179" i="6"/>
  <c r="AP179" i="6"/>
  <c r="AE178" i="6"/>
  <c r="AF178" i="6"/>
  <c r="AG178" i="6"/>
  <c r="AH178" i="6"/>
  <c r="AI178" i="6"/>
  <c r="AJ178" i="6"/>
  <c r="AK178" i="6"/>
  <c r="AL178" i="6"/>
  <c r="AM178" i="6"/>
  <c r="AN178" i="6"/>
  <c r="AE179" i="6"/>
  <c r="AF179" i="6"/>
  <c r="AG179" i="6"/>
  <c r="AH179" i="6"/>
  <c r="AI179" i="6"/>
  <c r="AJ179" i="6"/>
  <c r="AK179" i="6"/>
  <c r="AL179" i="6"/>
  <c r="AM179" i="6"/>
  <c r="AN179" i="6"/>
  <c r="AL181" i="6"/>
  <c r="AD178" i="6"/>
  <c r="AD179" i="6"/>
  <c r="AA16" i="11"/>
  <c r="AA17" i="11"/>
  <c r="AA10" i="11"/>
  <c r="AA8" i="11"/>
  <c r="Z178" i="6"/>
  <c r="AA178" i="6"/>
  <c r="AB178" i="6"/>
  <c r="AC178" i="6"/>
  <c r="Z179" i="6"/>
  <c r="AA179" i="6"/>
  <c r="AB179" i="6"/>
  <c r="AC179" i="6"/>
  <c r="Z180" i="6"/>
  <c r="Z181" i="6"/>
  <c r="R178" i="6"/>
  <c r="S178" i="6"/>
  <c r="T178" i="6"/>
  <c r="U178" i="6"/>
  <c r="V178" i="6"/>
  <c r="W178" i="6"/>
  <c r="X178" i="6"/>
  <c r="Y178" i="6"/>
  <c r="Q178" i="6"/>
  <c r="CO2" i="11"/>
  <c r="CN2" i="11"/>
  <c r="CM2" i="11"/>
  <c r="E6" i="12"/>
  <c r="E7" i="12"/>
  <c r="E5" i="12"/>
  <c r="E4" i="12"/>
  <c r="U21" i="11" l="1"/>
  <c r="V21" i="11"/>
  <c r="X21" i="11" l="1"/>
  <c r="Y21" i="11" s="1"/>
  <c r="P179" i="6" l="1"/>
  <c r="Q179" i="6"/>
  <c r="R179" i="6"/>
  <c r="S179" i="6"/>
  <c r="T179" i="6"/>
  <c r="U179" i="6"/>
  <c r="V179" i="6"/>
  <c r="W179" i="6"/>
  <c r="X179" i="6"/>
  <c r="Y179" i="6"/>
  <c r="P180" i="6"/>
  <c r="P181" i="6"/>
  <c r="O179" i="6"/>
  <c r="N179" i="6"/>
  <c r="H179" i="6"/>
  <c r="I179" i="6"/>
  <c r="J179" i="6"/>
  <c r="K179" i="6"/>
  <c r="L179" i="6"/>
  <c r="M179" i="6"/>
  <c r="L180" i="6"/>
  <c r="J181" i="6"/>
  <c r="L181" i="6"/>
  <c r="B179" i="6"/>
  <c r="C179" i="6"/>
  <c r="D179" i="6"/>
  <c r="E179" i="6"/>
  <c r="F179" i="6"/>
  <c r="G179" i="6"/>
  <c r="B181" i="6"/>
  <c r="C181" i="6"/>
  <c r="D181" i="6"/>
  <c r="E181" i="6"/>
  <c r="F181" i="6"/>
  <c r="G181" i="6"/>
  <c r="Y171" i="6" s="1"/>
  <c r="A181" i="6"/>
  <c r="A180" i="6"/>
  <c r="A179" i="6"/>
  <c r="BU8" i="11"/>
  <c r="BU9" i="11"/>
  <c r="BU10" i="11"/>
  <c r="BU11" i="11"/>
  <c r="BU12" i="11"/>
  <c r="BU13" i="11"/>
  <c r="BU14" i="11"/>
  <c r="BU16" i="11"/>
  <c r="BU17" i="11"/>
  <c r="D14" i="12"/>
  <c r="D15" i="12"/>
  <c r="D16" i="12"/>
  <c r="D17" i="12"/>
  <c r="D18" i="12"/>
  <c r="D19" i="12"/>
  <c r="D20" i="12"/>
  <c r="D21" i="12"/>
  <c r="D22" i="12"/>
  <c r="D23" i="12"/>
  <c r="D24" i="12"/>
  <c r="D25" i="12"/>
  <c r="D13" i="12"/>
  <c r="J9" i="8"/>
  <c r="F160" i="6" a="1"/>
  <c r="F160" i="6" s="1"/>
  <c r="F159" i="6" a="1"/>
  <c r="F159" i="6" s="1"/>
  <c r="L142" i="6"/>
  <c r="E37" i="10"/>
  <c r="E36" i="10"/>
  <c r="F15" i="10"/>
  <c r="BR3" i="11"/>
  <c r="D8" i="10"/>
  <c r="D9" i="10"/>
  <c r="D10" i="10"/>
  <c r="E50" i="13"/>
  <c r="E49" i="13"/>
  <c r="BF3" i="11"/>
  <c r="BF4" i="11" s="1"/>
  <c r="D33" i="13"/>
  <c r="D34" i="13"/>
  <c r="F16" i="13"/>
  <c r="E31" i="13"/>
  <c r="E30" i="13"/>
  <c r="E28" i="13"/>
  <c r="E27" i="13"/>
  <c r="E29" i="13"/>
  <c r="E26" i="13"/>
  <c r="E21" i="13"/>
  <c r="E25" i="13"/>
  <c r="E24" i="13"/>
  <c r="E23" i="13"/>
  <c r="E22" i="13"/>
  <c r="D16" i="13"/>
  <c r="D14" i="13"/>
  <c r="B17" i="13"/>
  <c r="B16" i="13"/>
  <c r="B14" i="13"/>
  <c r="E10" i="13"/>
  <c r="E11" i="13"/>
  <c r="E9" i="13"/>
  <c r="E8" i="13"/>
  <c r="B49" i="13"/>
  <c r="B48" i="13"/>
  <c r="B47" i="13"/>
  <c r="B46" i="13"/>
  <c r="B45" i="13"/>
  <c r="B44" i="13"/>
  <c r="B43" i="13"/>
  <c r="B42" i="13"/>
  <c r="B41" i="13"/>
  <c r="B40" i="13"/>
  <c r="B39" i="13"/>
  <c r="B38" i="13"/>
  <c r="B37" i="13"/>
  <c r="B36" i="13"/>
  <c r="B35" i="13"/>
  <c r="B34" i="13"/>
  <c r="B33" i="13"/>
  <c r="B32" i="13"/>
  <c r="B31" i="13"/>
  <c r="B30" i="13"/>
  <c r="B29" i="13"/>
  <c r="B26" i="13"/>
  <c r="B25" i="13"/>
  <c r="B24" i="13"/>
  <c r="B23" i="13"/>
  <c r="B22" i="13"/>
  <c r="B21" i="13"/>
  <c r="B19" i="13"/>
  <c r="B8" i="13"/>
  <c r="B6" i="13"/>
  <c r="B30" i="12"/>
  <c r="N148" i="6"/>
  <c r="D142" i="6"/>
  <c r="I142" i="6" s="1"/>
  <c r="B111" i="6"/>
  <c r="B96" i="6"/>
  <c r="Z175" i="6" s="1" a="1"/>
  <c r="Z175" i="6" s="1"/>
  <c r="B89" i="6"/>
  <c r="D100" i="6" s="1"/>
  <c r="I100" i="6" s="1"/>
  <c r="N106" i="6"/>
  <c r="D103" i="6"/>
  <c r="D102" i="6"/>
  <c r="I102" i="6" s="1"/>
  <c r="F43" i="9"/>
  <c r="F42" i="9"/>
  <c r="H175" i="6" l="1" a="1"/>
  <c r="H175" i="6" s="1"/>
  <c r="A175" i="6" a="1"/>
  <c r="A175" i="6" s="1"/>
  <c r="B175" i="6" a="1"/>
  <c r="B175" i="6" s="1"/>
  <c r="C175" i="6" a="1"/>
  <c r="C175" i="6" s="1"/>
  <c r="F49" i="13"/>
  <c r="F50" i="13"/>
  <c r="C174" i="6" l="1"/>
  <c r="V189" i="6" s="1"/>
  <c r="U189" i="6"/>
  <c r="B174" i="6"/>
  <c r="P191" i="6" s="1"/>
  <c r="O191" i="6"/>
  <c r="D32" i="9"/>
  <c r="D33" i="9"/>
  <c r="D34" i="9"/>
  <c r="D35" i="9"/>
  <c r="D36" i="9"/>
  <c r="D37" i="9"/>
  <c r="D38" i="9"/>
  <c r="D39" i="9"/>
  <c r="D40" i="9"/>
  <c r="D41" i="9"/>
  <c r="D42" i="9"/>
  <c r="D43" i="9"/>
  <c r="D31" i="9"/>
  <c r="S15" i="11"/>
  <c r="AC17" i="11"/>
  <c r="AH17" i="11" s="1"/>
  <c r="Z17" i="11"/>
  <c r="T17" i="11"/>
  <c r="S17" i="11"/>
  <c r="E17" i="11"/>
  <c r="G17" i="11" s="1"/>
  <c r="H17" i="11" s="1"/>
  <c r="AC16" i="11"/>
  <c r="AH16" i="11" s="1"/>
  <c r="Z16" i="11"/>
  <c r="T16" i="11"/>
  <c r="S16" i="11"/>
  <c r="E16" i="11"/>
  <c r="G16" i="11" s="1"/>
  <c r="H16" i="11" s="1"/>
  <c r="AC14" i="11"/>
  <c r="AH14" i="11" s="1"/>
  <c r="Z14" i="11"/>
  <c r="T14" i="11"/>
  <c r="S14" i="11"/>
  <c r="E14" i="11"/>
  <c r="G14" i="11" s="1"/>
  <c r="J14" i="11" s="1"/>
  <c r="H14" i="11" s="1"/>
  <c r="AC13" i="11"/>
  <c r="AH13" i="11" s="1"/>
  <c r="Z13" i="11"/>
  <c r="T13" i="11"/>
  <c r="S13" i="11"/>
  <c r="E13" i="11"/>
  <c r="G13" i="11" s="1"/>
  <c r="H13" i="11" s="1"/>
  <c r="I13" i="11" s="1"/>
  <c r="AC12" i="11"/>
  <c r="AH12" i="11" s="1"/>
  <c r="T12" i="11"/>
  <c r="S12" i="11"/>
  <c r="N12" i="11"/>
  <c r="N13" i="11" s="1"/>
  <c r="E12" i="11"/>
  <c r="G12" i="11" s="1"/>
  <c r="H12" i="11" s="1"/>
  <c r="I12" i="11" s="1"/>
  <c r="AC11" i="11"/>
  <c r="AH11" i="11" s="1"/>
  <c r="Z11" i="11"/>
  <c r="T11" i="11"/>
  <c r="S11" i="11"/>
  <c r="E11" i="11"/>
  <c r="G11" i="11" s="1"/>
  <c r="H11" i="11" s="1"/>
  <c r="I11" i="11" s="1"/>
  <c r="AC10" i="11"/>
  <c r="AH10" i="11" s="1"/>
  <c r="T10" i="11"/>
  <c r="S10" i="11"/>
  <c r="E10" i="11"/>
  <c r="G10" i="11" s="1"/>
  <c r="H10" i="11" s="1"/>
  <c r="I10" i="11" s="1"/>
  <c r="AC9" i="11"/>
  <c r="AH9" i="11" s="1"/>
  <c r="T9" i="11"/>
  <c r="S9" i="11"/>
  <c r="E9" i="11"/>
  <c r="G9" i="11" s="1"/>
  <c r="H9" i="11" s="1"/>
  <c r="I9" i="11" s="1"/>
  <c r="AC8" i="11"/>
  <c r="AH8" i="11" s="1"/>
  <c r="T8" i="11"/>
  <c r="S8" i="11"/>
  <c r="E8" i="11"/>
  <c r="G8" i="11" s="1"/>
  <c r="H8" i="11" s="1"/>
  <c r="I8" i="11" s="1"/>
  <c r="AC7" i="11"/>
  <c r="AH7" i="11" s="1"/>
  <c r="S7" i="11"/>
  <c r="AC6" i="11"/>
  <c r="AH6" i="11" s="1"/>
  <c r="Z6" i="11"/>
  <c r="S6" i="11"/>
  <c r="AC5" i="11"/>
  <c r="AH5" i="11" s="1"/>
  <c r="S5" i="11"/>
  <c r="F52" i="6"/>
  <c r="F51" i="6"/>
  <c r="F50" i="6"/>
  <c r="F49" i="6"/>
  <c r="F48" i="6"/>
  <c r="F47" i="6"/>
  <c r="F46" i="6"/>
  <c r="G19" i="9"/>
  <c r="D19" i="9"/>
  <c r="D18" i="9"/>
  <c r="G17" i="9"/>
  <c r="D17" i="9" a="1"/>
  <c r="D17" i="9" s="1"/>
  <c r="D7" i="10" s="1"/>
  <c r="D16" i="9"/>
  <c r="G20" i="9"/>
  <c r="D20" i="9"/>
  <c r="B11" i="9"/>
  <c r="B10" i="9"/>
  <c r="E82" i="6" s="1"/>
  <c r="F9" i="9"/>
  <c r="J29" i="6"/>
  <c r="AC29" i="6"/>
  <c r="K29" i="6"/>
  <c r="W29" i="6"/>
  <c r="O29" i="6"/>
  <c r="T29" i="6" s="1"/>
  <c r="B41" i="10"/>
  <c r="B40" i="10"/>
  <c r="B39" i="10"/>
  <c r="B38" i="10"/>
  <c r="B37" i="10"/>
  <c r="B36" i="10"/>
  <c r="B35" i="10"/>
  <c r="B27" i="10"/>
  <c r="B26" i="10"/>
  <c r="B24" i="10"/>
  <c r="B23" i="10"/>
  <c r="B14" i="10"/>
  <c r="B13" i="10"/>
  <c r="B12" i="10"/>
  <c r="B11" i="10"/>
  <c r="B10" i="10"/>
  <c r="B9" i="10"/>
  <c r="B8" i="10"/>
  <c r="B7" i="10"/>
  <c r="B6" i="10"/>
  <c r="B55" i="9"/>
  <c r="K135" i="6" s="1"/>
  <c r="B54" i="9"/>
  <c r="B53" i="9"/>
  <c r="AF71" i="6"/>
  <c r="AE71" i="6"/>
  <c r="AD71" i="6"/>
  <c r="AC71" i="6"/>
  <c r="AB71" i="6"/>
  <c r="AH71" i="6" s="1"/>
  <c r="AF70" i="6"/>
  <c r="AE70" i="6"/>
  <c r="AD70" i="6"/>
  <c r="AC70" i="6"/>
  <c r="AB70" i="6"/>
  <c r="B6" i="8"/>
  <c r="B7" i="8"/>
  <c r="B8" i="8"/>
  <c r="B10" i="8"/>
  <c r="B11" i="8"/>
  <c r="B12" i="8"/>
  <c r="B13" i="8"/>
  <c r="B14" i="8"/>
  <c r="B15" i="8"/>
  <c r="B24" i="8"/>
  <c r="B27" i="8"/>
  <c r="B28" i="8"/>
  <c r="B36" i="8"/>
  <c r="B37" i="8"/>
  <c r="B38" i="8"/>
  <c r="B39" i="8"/>
  <c r="B40" i="8"/>
  <c r="B41" i="8"/>
  <c r="B42" i="8"/>
  <c r="F25" i="8"/>
  <c r="J64" i="6"/>
  <c r="J65" i="6"/>
  <c r="J66" i="6"/>
  <c r="J67" i="6"/>
  <c r="J68" i="6"/>
  <c r="J70" i="6"/>
  <c r="J71" i="6"/>
  <c r="J63" i="6"/>
  <c r="F11" i="8" s="1"/>
  <c r="K63" i="6"/>
  <c r="L63" i="6"/>
  <c r="F18" i="8" s="1"/>
  <c r="M63" i="6"/>
  <c r="F12" i="8" s="1"/>
  <c r="N63" i="6"/>
  <c r="K64" i="6"/>
  <c r="L64" i="6"/>
  <c r="M64" i="6"/>
  <c r="N64" i="6"/>
  <c r="K65" i="6"/>
  <c r="L65" i="6"/>
  <c r="M65" i="6"/>
  <c r="N65" i="6"/>
  <c r="K66" i="6"/>
  <c r="L66" i="6"/>
  <c r="M66" i="6"/>
  <c r="N66" i="6"/>
  <c r="K67" i="6"/>
  <c r="L67" i="6"/>
  <c r="M67" i="6"/>
  <c r="N67" i="6"/>
  <c r="K68" i="6"/>
  <c r="L68" i="6"/>
  <c r="M68" i="6"/>
  <c r="N68" i="6"/>
  <c r="K69" i="6"/>
  <c r="L69" i="6"/>
  <c r="N69" i="6"/>
  <c r="K70" i="6"/>
  <c r="L70" i="6"/>
  <c r="M70" i="6"/>
  <c r="N70" i="6"/>
  <c r="F17" i="8" s="1"/>
  <c r="K71" i="6"/>
  <c r="L71" i="6"/>
  <c r="M71" i="6"/>
  <c r="N71" i="6"/>
  <c r="L62" i="6"/>
  <c r="F6" i="8" s="1"/>
  <c r="M62" i="6"/>
  <c r="N62" i="6"/>
  <c r="K62" i="6"/>
  <c r="F8" i="8" s="1"/>
  <c r="X4" i="6"/>
  <c r="X5" i="6"/>
  <c r="X6" i="6"/>
  <c r="X7" i="6"/>
  <c r="X8" i="6"/>
  <c r="X9" i="6"/>
  <c r="X10" i="6"/>
  <c r="X11" i="6"/>
  <c r="X12" i="6"/>
  <c r="X13" i="6"/>
  <c r="X14" i="6"/>
  <c r="X15" i="6"/>
  <c r="X16" i="6"/>
  <c r="X17" i="6"/>
  <c r="X18" i="6"/>
  <c r="X19" i="6"/>
  <c r="X20" i="6"/>
  <c r="X21" i="6"/>
  <c r="X22" i="6"/>
  <c r="X23" i="6"/>
  <c r="X24" i="6"/>
  <c r="X25" i="6"/>
  <c r="X26" i="6"/>
  <c r="X27" i="6"/>
  <c r="X28" i="6"/>
  <c r="X3" i="6"/>
  <c r="I35" i="6"/>
  <c r="I36" i="6"/>
  <c r="I37" i="6"/>
  <c r="I38" i="6"/>
  <c r="I39" i="6"/>
  <c r="I34" i="6"/>
  <c r="H47" i="6"/>
  <c r="H48" i="6"/>
  <c r="H49" i="6"/>
  <c r="H45" i="6"/>
  <c r="AH70" i="6" l="1"/>
  <c r="G16" i="9"/>
  <c r="D6" i="10"/>
  <c r="D45" i="13"/>
  <c r="D32" i="10"/>
  <c r="D44" i="13"/>
  <c r="D31" i="10"/>
  <c r="D43" i="13"/>
  <c r="D30" i="10"/>
  <c r="D40" i="13"/>
  <c r="D27" i="10"/>
  <c r="D39" i="13"/>
  <c r="D26" i="10"/>
  <c r="D50" i="13"/>
  <c r="D37" i="10"/>
  <c r="D47" i="13"/>
  <c r="D34" i="10"/>
  <c r="D42" i="13"/>
  <c r="D29" i="10"/>
  <c r="D38" i="13"/>
  <c r="D25" i="10"/>
  <c r="D49" i="13"/>
  <c r="D36" i="10"/>
  <c r="D48" i="13"/>
  <c r="D35" i="10"/>
  <c r="D46" i="13"/>
  <c r="D33" i="10"/>
  <c r="D41" i="13"/>
  <c r="D28" i="10"/>
  <c r="K136" i="6"/>
  <c r="W10" i="11"/>
  <c r="V16" i="11"/>
  <c r="U11" i="11"/>
  <c r="U17" i="11"/>
  <c r="W12" i="11"/>
  <c r="W8" i="11"/>
  <c r="W14" i="11"/>
  <c r="U9" i="11"/>
  <c r="B12" i="9"/>
  <c r="E104" i="6" s="1"/>
  <c r="E84" i="6"/>
  <c r="U14" i="11"/>
  <c r="V14" i="11"/>
  <c r="U16" i="11"/>
  <c r="W16" i="11"/>
  <c r="W13" i="11"/>
  <c r="V13" i="11"/>
  <c r="U13" i="11"/>
  <c r="AN13" i="11" s="1" a="1"/>
  <c r="AN13" i="11" s="1"/>
  <c r="N181" i="6" s="1"/>
  <c r="Y175" i="6" s="1"/>
  <c r="U12" i="11"/>
  <c r="U10" i="11"/>
  <c r="V11" i="11"/>
  <c r="V12" i="11"/>
  <c r="V10" i="11"/>
  <c r="W11" i="11"/>
  <c r="V17" i="11"/>
  <c r="U8" i="11"/>
  <c r="V9" i="11"/>
  <c r="W17" i="11"/>
  <c r="V8" i="11"/>
  <c r="W9" i="11"/>
  <c r="F23" i="8"/>
  <c r="F22" i="8"/>
  <c r="F19" i="8"/>
  <c r="P71" i="6"/>
  <c r="H29" i="6"/>
  <c r="D29" i="6" s="1"/>
  <c r="B29" i="6" s="1"/>
  <c r="C29" i="6"/>
  <c r="AB29" i="6" s="1"/>
  <c r="P70" i="6"/>
  <c r="AA29" i="6"/>
  <c r="P29" i="6"/>
  <c r="F21" i="8"/>
  <c r="S29" i="6"/>
  <c r="F20" i="8"/>
  <c r="R29" i="6"/>
  <c r="F14" i="8"/>
  <c r="Q29" i="6"/>
  <c r="I40" i="6"/>
  <c r="AH4" i="6"/>
  <c r="AI4" i="6" s="1"/>
  <c r="AH5" i="6"/>
  <c r="AI5" i="6" s="1"/>
  <c r="AH6" i="6"/>
  <c r="AI6" i="6" s="1"/>
  <c r="AH7" i="6"/>
  <c r="AI7" i="6" s="1"/>
  <c r="AH8" i="6"/>
  <c r="AH18" i="6" s="1"/>
  <c r="AI18" i="6" s="1"/>
  <c r="AH9" i="6"/>
  <c r="AI9" i="6" s="1"/>
  <c r="AH10" i="6"/>
  <c r="AI10" i="6" s="1"/>
  <c r="AI24" i="6" s="1"/>
  <c r="AH24" i="6" s="1"/>
  <c r="AH11" i="6"/>
  <c r="AI11" i="6" s="1"/>
  <c r="AH12" i="6"/>
  <c r="AI12" i="6" s="1"/>
  <c r="AH13" i="6"/>
  <c r="AI13" i="6" s="1"/>
  <c r="AI22" i="6" s="1"/>
  <c r="AH22" i="6" s="1"/>
  <c r="AH14" i="6"/>
  <c r="AI14" i="6" s="1"/>
  <c r="AI23" i="6" s="1"/>
  <c r="AH23" i="6" s="1"/>
  <c r="AH15" i="6"/>
  <c r="AI15" i="6" s="1"/>
  <c r="AH16" i="6"/>
  <c r="AH17" i="6" s="1"/>
  <c r="AI17" i="6" s="1"/>
  <c r="AH3" i="6"/>
  <c r="AI3" i="6" s="1"/>
  <c r="AE17" i="6"/>
  <c r="AE26" i="6" s="1"/>
  <c r="AF26" i="6" s="1"/>
  <c r="AF4" i="6"/>
  <c r="AF5" i="6"/>
  <c r="AF6" i="6"/>
  <c r="AF7" i="6"/>
  <c r="AF8" i="6"/>
  <c r="AF9" i="6"/>
  <c r="AF10" i="6"/>
  <c r="AF11" i="6"/>
  <c r="AF12" i="6"/>
  <c r="AF13" i="6"/>
  <c r="AF14" i="6"/>
  <c r="AF15" i="6"/>
  <c r="AF16" i="6"/>
  <c r="AF18" i="6"/>
  <c r="AF3" i="6"/>
  <c r="AE25" i="6"/>
  <c r="AF25" i="6" s="1"/>
  <c r="AE24" i="6"/>
  <c r="AF24" i="6" s="1"/>
  <c r="AE23" i="6"/>
  <c r="AF23" i="6" s="1"/>
  <c r="AE22" i="6"/>
  <c r="AF22" i="6" s="1"/>
  <c r="AE21" i="6"/>
  <c r="AF21" i="6" s="1"/>
  <c r="AE20" i="6"/>
  <c r="AF20" i="6" s="1"/>
  <c r="AE19" i="6"/>
  <c r="AF19" i="6" s="1"/>
  <c r="AD18" i="6"/>
  <c r="AD17" i="6"/>
  <c r="AD16" i="6"/>
  <c r="AD15" i="6"/>
  <c r="AD14" i="6"/>
  <c r="AD13" i="6"/>
  <c r="AD12" i="6"/>
  <c r="AD11" i="6"/>
  <c r="AD10" i="6"/>
  <c r="AD9" i="6"/>
  <c r="AD8" i="6"/>
  <c r="AD7" i="6"/>
  <c r="AD6" i="6"/>
  <c r="AD5" i="6"/>
  <c r="AD4" i="6"/>
  <c r="AD3" i="6"/>
  <c r="AC18" i="6"/>
  <c r="AC17" i="6"/>
  <c r="AC16" i="6"/>
  <c r="AC15" i="6"/>
  <c r="AC14" i="6"/>
  <c r="AC13" i="6"/>
  <c r="AC12" i="6"/>
  <c r="AC11" i="6"/>
  <c r="AC10" i="6"/>
  <c r="AC9" i="6"/>
  <c r="AC8" i="6"/>
  <c r="AC7" i="6"/>
  <c r="AC6" i="6"/>
  <c r="AC5" i="6"/>
  <c r="AC4" i="6"/>
  <c r="AC3" i="6"/>
  <c r="AB4" i="6"/>
  <c r="AB5" i="6"/>
  <c r="AB6" i="6"/>
  <c r="AB7" i="6"/>
  <c r="AB8" i="6"/>
  <c r="AB9" i="6"/>
  <c r="AB10" i="6"/>
  <c r="AB11" i="6"/>
  <c r="AB12" i="6"/>
  <c r="AB13" i="6"/>
  <c r="AB14" i="6"/>
  <c r="AB15" i="6"/>
  <c r="AB16" i="6"/>
  <c r="AB17" i="6"/>
  <c r="AB18" i="6"/>
  <c r="AB19" i="6"/>
  <c r="AB20" i="6"/>
  <c r="AB21" i="6"/>
  <c r="AB22" i="6"/>
  <c r="AB23" i="6"/>
  <c r="AB24" i="6"/>
  <c r="AB25" i="6"/>
  <c r="AB26" i="6"/>
  <c r="AB27" i="6"/>
  <c r="AB28" i="6"/>
  <c r="AB3" i="6"/>
  <c r="AA4" i="6"/>
  <c r="AA5" i="6"/>
  <c r="AA6" i="6"/>
  <c r="AA7" i="6"/>
  <c r="AA8" i="6"/>
  <c r="AA9" i="6"/>
  <c r="AA10" i="6"/>
  <c r="AA11" i="6"/>
  <c r="AA12" i="6"/>
  <c r="AA13" i="6"/>
  <c r="AA14" i="6"/>
  <c r="AA15" i="6"/>
  <c r="AA16" i="6"/>
  <c r="AA17" i="6"/>
  <c r="AA18" i="6"/>
  <c r="AA19" i="6"/>
  <c r="AA20" i="6"/>
  <c r="AA21" i="6"/>
  <c r="AA22" i="6"/>
  <c r="AA23" i="6"/>
  <c r="AA24" i="6"/>
  <c r="AA25" i="6"/>
  <c r="AA26" i="6"/>
  <c r="AA27" i="6"/>
  <c r="AA28" i="6"/>
  <c r="AA3" i="6"/>
  <c r="B23" i="7"/>
  <c r="Z3" i="6"/>
  <c r="Z4" i="6"/>
  <c r="Z5" i="6"/>
  <c r="Z6" i="6"/>
  <c r="Z7" i="6"/>
  <c r="Z8" i="6"/>
  <c r="Z9" i="6"/>
  <c r="Z10" i="6"/>
  <c r="Z11" i="6"/>
  <c r="Z12" i="6"/>
  <c r="Z13" i="6"/>
  <c r="Z14" i="6"/>
  <c r="Z15" i="6"/>
  <c r="Z16" i="6"/>
  <c r="Z17" i="6"/>
  <c r="Z18" i="6"/>
  <c r="Z19" i="6"/>
  <c r="Z20" i="6"/>
  <c r="Z21" i="6"/>
  <c r="Z22" i="6"/>
  <c r="Z23" i="6"/>
  <c r="Z24" i="6"/>
  <c r="Z25" i="6"/>
  <c r="Z26" i="6"/>
  <c r="Z27" i="6"/>
  <c r="Z28" i="6"/>
  <c r="D34" i="4"/>
  <c r="D35" i="4" s="1"/>
  <c r="D36" i="4" s="1"/>
  <c r="F36" i="4" s="1"/>
  <c r="F33" i="4"/>
  <c r="F32" i="4"/>
  <c r="F31" i="4"/>
  <c r="I30" i="4"/>
  <c r="F29" i="4"/>
  <c r="F26" i="4"/>
  <c r="D26" i="4"/>
  <c r="H26" i="4" s="1"/>
  <c r="D22" i="4"/>
  <c r="D23" i="4" s="1"/>
  <c r="H23" i="4" s="1"/>
  <c r="Z14" i="4"/>
  <c r="AE14" i="4" s="1"/>
  <c r="W14" i="4"/>
  <c r="T14" i="4"/>
  <c r="S14" i="4"/>
  <c r="R14" i="4"/>
  <c r="Q14" i="4"/>
  <c r="P14" i="4"/>
  <c r="E14" i="4"/>
  <c r="G14" i="4" s="1"/>
  <c r="H14" i="4" s="1"/>
  <c r="Z13" i="4"/>
  <c r="AE13" i="4" s="1"/>
  <c r="W13" i="4"/>
  <c r="Q13" i="4"/>
  <c r="R13" i="4" s="1"/>
  <c r="P13" i="4"/>
  <c r="E13" i="4"/>
  <c r="G13" i="4" s="1"/>
  <c r="H13" i="4" s="1"/>
  <c r="Z12" i="4"/>
  <c r="AE12" i="4" s="1"/>
  <c r="Q12" i="4"/>
  <c r="T12" i="4" s="1"/>
  <c r="P12" i="4"/>
  <c r="L12" i="4"/>
  <c r="L13" i="4" s="1"/>
  <c r="E12" i="4"/>
  <c r="G12" i="4" s="1"/>
  <c r="H12" i="4" s="1"/>
  <c r="Z11" i="4"/>
  <c r="AE11" i="4" s="1"/>
  <c r="W11" i="4"/>
  <c r="Q11" i="4"/>
  <c r="T11" i="4" s="1"/>
  <c r="P11" i="4"/>
  <c r="E11" i="4"/>
  <c r="G11" i="4" s="1"/>
  <c r="H11" i="4" s="1"/>
  <c r="Z10" i="4"/>
  <c r="AE10" i="4" s="1"/>
  <c r="Q10" i="4"/>
  <c r="S10" i="4" s="1"/>
  <c r="P10" i="4"/>
  <c r="E10" i="4"/>
  <c r="G10" i="4" s="1"/>
  <c r="H10" i="4" s="1"/>
  <c r="AE9" i="4"/>
  <c r="Z9" i="4"/>
  <c r="Q9" i="4"/>
  <c r="T9" i="4" s="1"/>
  <c r="P9" i="4"/>
  <c r="E9" i="4"/>
  <c r="G9" i="4" s="1"/>
  <c r="H9" i="4" s="1"/>
  <c r="Z8" i="4"/>
  <c r="AE8" i="4" s="1"/>
  <c r="Q8" i="4"/>
  <c r="T8" i="4" s="1"/>
  <c r="P8" i="4"/>
  <c r="J8" i="4"/>
  <c r="J10" i="4" s="1"/>
  <c r="K10" i="4" s="1"/>
  <c r="E8" i="4"/>
  <c r="G8" i="4" s="1"/>
  <c r="H8" i="4" s="1"/>
  <c r="Z7" i="4"/>
  <c r="AE7" i="4" s="1"/>
  <c r="P7" i="4"/>
  <c r="Z6" i="4"/>
  <c r="AE6" i="4" s="1"/>
  <c r="W6" i="4"/>
  <c r="P6" i="4"/>
  <c r="Z5" i="4"/>
  <c r="AE5" i="4" s="1"/>
  <c r="P5" i="4"/>
  <c r="L5" i="4"/>
  <c r="L6" i="4" s="1"/>
  <c r="L7" i="4" s="1"/>
  <c r="L11" i="4" s="1"/>
  <c r="J5" i="4"/>
  <c r="J9" i="4" s="1"/>
  <c r="J12" i="4" s="1"/>
  <c r="K12" i="4" s="1"/>
  <c r="I5" i="4"/>
  <c r="I7" i="4" s="1"/>
  <c r="W7" i="4" s="1"/>
  <c r="F5" i="4"/>
  <c r="AB8" i="4" s="1"/>
  <c r="E4" i="5" l="1"/>
  <c r="D5" i="5"/>
  <c r="AN16" i="11" a="1"/>
  <c r="AN16" i="11" s="1"/>
  <c r="AN8" i="11" a="1"/>
  <c r="AN8" i="11" s="1"/>
  <c r="K137" i="6"/>
  <c r="AN9" i="11" a="1"/>
  <c r="AN9" i="11" s="1"/>
  <c r="AN14" i="11" a="1"/>
  <c r="AN14" i="11" s="1"/>
  <c r="AN12" i="11" a="1"/>
  <c r="AN12" i="11" s="1"/>
  <c r="AN17" i="11" a="1"/>
  <c r="AN17" i="11" s="1"/>
  <c r="AN10" i="11" a="1"/>
  <c r="AN10" i="11" s="1"/>
  <c r="AN11" i="11" a="1"/>
  <c r="AN11" i="11" s="1"/>
  <c r="B1" i="11"/>
  <c r="A1" i="11" s="1"/>
  <c r="P8" i="11" s="1"/>
  <c r="P9" i="11" s="1"/>
  <c r="B2" i="12"/>
  <c r="B2" i="13"/>
  <c r="V29" i="6"/>
  <c r="U29" i="6"/>
  <c r="X11" i="11"/>
  <c r="X9" i="11"/>
  <c r="X8" i="11"/>
  <c r="X14" i="11"/>
  <c r="X16" i="11"/>
  <c r="Y16" i="11" s="1"/>
  <c r="X17" i="11"/>
  <c r="Y17" i="11" s="1"/>
  <c r="BV17" i="11" s="1"/>
  <c r="X13" i="11"/>
  <c r="X10" i="11"/>
  <c r="X12" i="11"/>
  <c r="D7" i="5"/>
  <c r="AI16" i="6"/>
  <c r="AI25" i="6" s="1"/>
  <c r="AH25" i="6" s="1"/>
  <c r="B2" i="8"/>
  <c r="B2" i="10"/>
  <c r="B2" i="9"/>
  <c r="AI19" i="6"/>
  <c r="AI26" i="6"/>
  <c r="AH26" i="6" s="1"/>
  <c r="AI20" i="6"/>
  <c r="AH20" i="6" s="1"/>
  <c r="AH29" i="6" s="1"/>
  <c r="AI29" i="6" s="1"/>
  <c r="B55" i="6"/>
  <c r="AI8" i="6"/>
  <c r="AI21" i="6" s="1"/>
  <c r="AH21" i="6" s="1"/>
  <c r="AE27" i="6"/>
  <c r="AF27" i="6" s="1"/>
  <c r="AE28" i="6"/>
  <c r="AF28" i="6" s="1"/>
  <c r="B2" i="7"/>
  <c r="S13" i="4"/>
  <c r="U13" i="4" s="1"/>
  <c r="V13" i="4" s="1"/>
  <c r="W5" i="4"/>
  <c r="T10" i="4"/>
  <c r="T13" i="4"/>
  <c r="U14" i="4"/>
  <c r="V14" i="4" s="1"/>
  <c r="R9" i="4"/>
  <c r="R11" i="4"/>
  <c r="S8" i="4"/>
  <c r="S11" i="4"/>
  <c r="AB10" i="4"/>
  <c r="AB12" i="4"/>
  <c r="AB11" i="4"/>
  <c r="Q5" i="4"/>
  <c r="AB13" i="4"/>
  <c r="F6" i="4"/>
  <c r="AB14" i="4"/>
  <c r="S9" i="4"/>
  <c r="R12" i="4"/>
  <c r="S12" i="4"/>
  <c r="R8" i="4"/>
  <c r="U8" i="4" s="1"/>
  <c r="K8" i="4"/>
  <c r="AB9" i="4"/>
  <c r="R10" i="4"/>
  <c r="U10" i="4" s="1"/>
  <c r="K9" i="4"/>
  <c r="F34" i="4"/>
  <c r="F35" i="4" s="1"/>
  <c r="D5" i="4"/>
  <c r="G23" i="9" l="1"/>
  <c r="G4" i="5"/>
  <c r="G24" i="9" s="1"/>
  <c r="AO16" i="11"/>
  <c r="BV16" i="11"/>
  <c r="AO17" i="11"/>
  <c r="E28" i="7"/>
  <c r="I28" i="7" s="1"/>
  <c r="B28" i="7" s="1"/>
  <c r="P6" i="11"/>
  <c r="P7" i="11" s="1"/>
  <c r="F23" i="9"/>
  <c r="E7" i="7"/>
  <c r="F15" i="11" s="1"/>
  <c r="E24" i="7"/>
  <c r="E11" i="7"/>
  <c r="E10" i="7"/>
  <c r="K15" i="11" s="1"/>
  <c r="Z15" i="11" s="1"/>
  <c r="E5" i="7"/>
  <c r="E27" i="7"/>
  <c r="I27" i="7" s="1"/>
  <c r="E26" i="7"/>
  <c r="E25" i="7"/>
  <c r="T58" i="6"/>
  <c r="B91" i="6" s="1"/>
  <c r="B133" i="6" s="1"/>
  <c r="B59" i="6"/>
  <c r="B58" i="6"/>
  <c r="C69" i="6" s="1"/>
  <c r="Y48" i="6"/>
  <c r="H57" i="6"/>
  <c r="G57" i="6"/>
  <c r="F57" i="6"/>
  <c r="E57" i="6"/>
  <c r="J62" i="6"/>
  <c r="D57" i="6"/>
  <c r="B57" i="6"/>
  <c r="O55" i="6"/>
  <c r="C62" i="6"/>
  <c r="B60" i="6"/>
  <c r="B70" i="6" s="1"/>
  <c r="E70" i="6" s="1"/>
  <c r="X29" i="6"/>
  <c r="Y29" i="6" s="1"/>
  <c r="AI28" i="6"/>
  <c r="AH28" i="6" s="1"/>
  <c r="I33" i="6" s="1"/>
  <c r="AI27" i="6"/>
  <c r="AH27" i="6" s="1"/>
  <c r="AH19" i="6"/>
  <c r="B24" i="7"/>
  <c r="D6" i="5"/>
  <c r="J183" i="6" s="1"/>
  <c r="U11" i="4"/>
  <c r="V11" i="4" s="1"/>
  <c r="AF14" i="4"/>
  <c r="AD13" i="4"/>
  <c r="AC12" i="4"/>
  <c r="AC11" i="4"/>
  <c r="AC13" i="4"/>
  <c r="AG13" i="4" s="1"/>
  <c r="AD14" i="4"/>
  <c r="AC14" i="4"/>
  <c r="AG14" i="4" s="1"/>
  <c r="AC9" i="4"/>
  <c r="AG9" i="4" s="1"/>
  <c r="AF12" i="4"/>
  <c r="AF11" i="4"/>
  <c r="AF8" i="4"/>
  <c r="AD11" i="4"/>
  <c r="AI11" i="4" s="1"/>
  <c r="AF13" i="4"/>
  <c r="AC10" i="4"/>
  <c r="AG10" i="4" s="1"/>
  <c r="AF10" i="4"/>
  <c r="AC8" i="4"/>
  <c r="AG8" i="4" s="1"/>
  <c r="E5" i="4"/>
  <c r="G5" i="4" s="1"/>
  <c r="H5" i="4" s="1"/>
  <c r="AF9" i="4"/>
  <c r="U12" i="4"/>
  <c r="I9" i="4"/>
  <c r="F7" i="4"/>
  <c r="AB6" i="4"/>
  <c r="Q6" i="4"/>
  <c r="U9" i="4"/>
  <c r="R5" i="4"/>
  <c r="S5" i="4"/>
  <c r="T5" i="4"/>
  <c r="AG11" i="4"/>
  <c r="K5" i="4"/>
  <c r="K6" i="4" s="1"/>
  <c r="AG12" i="4"/>
  <c r="I8" i="4"/>
  <c r="O67" i="6" l="1"/>
  <c r="O68" i="6"/>
  <c r="O65" i="6"/>
  <c r="O64" i="6"/>
  <c r="O63" i="6"/>
  <c r="O66" i="6"/>
  <c r="M69" i="6"/>
  <c r="F69" i="6" s="1"/>
  <c r="G7" i="5"/>
  <c r="F24" i="9" s="1"/>
  <c r="K185" i="6"/>
  <c r="K197" i="6"/>
  <c r="K202" i="6"/>
  <c r="K191" i="6"/>
  <c r="K195" i="6"/>
  <c r="K200" i="6"/>
  <c r="K189" i="6"/>
  <c r="D124" i="6"/>
  <c r="N149" i="6" s="1"/>
  <c r="B29" i="12"/>
  <c r="G6" i="5"/>
  <c r="I145" i="6"/>
  <c r="I144" i="6"/>
  <c r="C57" i="6"/>
  <c r="I26" i="7"/>
  <c r="I13" i="7" s="1"/>
  <c r="E13" i="7"/>
  <c r="T15" i="11"/>
  <c r="L5" i="11"/>
  <c r="H180" i="6" s="1"/>
  <c r="L15" i="11"/>
  <c r="I5" i="7"/>
  <c r="B5" i="7" s="1"/>
  <c r="D5" i="11" s="1"/>
  <c r="B180" i="6" s="1"/>
  <c r="X167" i="6" s="1"/>
  <c r="Y167" i="6" s="1"/>
  <c r="D15" i="11"/>
  <c r="E62" i="6"/>
  <c r="D62" i="6"/>
  <c r="Z29" i="6"/>
  <c r="B5" i="10"/>
  <c r="D30" i="5"/>
  <c r="J199" i="6" s="1"/>
  <c r="D18" i="5"/>
  <c r="J187" i="6" s="1"/>
  <c r="F7" i="8"/>
  <c r="P62" i="6"/>
  <c r="E15" i="7"/>
  <c r="E30" i="7" s="1"/>
  <c r="D12" i="5"/>
  <c r="I7" i="7"/>
  <c r="B7" i="7" s="1"/>
  <c r="F5" i="11" s="1"/>
  <c r="D180" i="6" s="1"/>
  <c r="E35" i="7"/>
  <c r="D10" i="5"/>
  <c r="E32" i="7"/>
  <c r="E31" i="7"/>
  <c r="I31" i="7" s="1"/>
  <c r="E14" i="7"/>
  <c r="B27" i="7"/>
  <c r="E12" i="7"/>
  <c r="E6" i="7"/>
  <c r="E29" i="7"/>
  <c r="I25" i="7"/>
  <c r="B25" i="7" s="1"/>
  <c r="E21" i="7"/>
  <c r="B67" i="6" s="1"/>
  <c r="U5" i="4"/>
  <c r="V5" i="4" s="1"/>
  <c r="D6" i="4"/>
  <c r="K7" i="4"/>
  <c r="D7" i="4" s="1"/>
  <c r="J6" i="4"/>
  <c r="AI14" i="4"/>
  <c r="AI13" i="4"/>
  <c r="V9" i="4"/>
  <c r="T6" i="4"/>
  <c r="S6" i="4"/>
  <c r="R6" i="4"/>
  <c r="W8" i="4"/>
  <c r="V8" i="4" s="1"/>
  <c r="I10" i="4"/>
  <c r="AD8" i="4"/>
  <c r="AI8" i="4" s="1"/>
  <c r="W9" i="4"/>
  <c r="I12" i="4"/>
  <c r="AD9" i="4"/>
  <c r="AI9" i="4" s="1"/>
  <c r="Q7" i="4"/>
  <c r="AB7" i="4"/>
  <c r="K187" i="6" l="1"/>
  <c r="K199" i="6"/>
  <c r="H23" i="9"/>
  <c r="T57" i="6"/>
  <c r="T56" i="6" s="1"/>
  <c r="X57" i="6" s="1"/>
  <c r="N183" i="6"/>
  <c r="C127" i="6"/>
  <c r="CE3" i="11"/>
  <c r="CE19" i="11" s="1"/>
  <c r="AE182" i="6" s="1"/>
  <c r="S184" i="6" s="1"/>
  <c r="D170" i="6"/>
  <c r="X170" i="6"/>
  <c r="E175" i="6"/>
  <c r="E171" i="6"/>
  <c r="L8" i="11"/>
  <c r="L10" i="11" s="1"/>
  <c r="M10" i="11" s="1"/>
  <c r="D159" i="6"/>
  <c r="B144" i="6"/>
  <c r="B24" i="12"/>
  <c r="B25" i="12"/>
  <c r="B12" i="12"/>
  <c r="B14" i="12"/>
  <c r="B26" i="7"/>
  <c r="B20" i="12"/>
  <c r="Q15" i="11"/>
  <c r="E15" i="11"/>
  <c r="G15" i="11" s="1"/>
  <c r="H15" i="11" s="1"/>
  <c r="I15" i="11" s="1"/>
  <c r="N15" i="11"/>
  <c r="E22" i="7"/>
  <c r="U15" i="11"/>
  <c r="V15" i="11"/>
  <c r="W15" i="11"/>
  <c r="AI8" i="11"/>
  <c r="AF9" i="11"/>
  <c r="AF16" i="11"/>
  <c r="AI9" i="11"/>
  <c r="AI10" i="11"/>
  <c r="AF13" i="11"/>
  <c r="AI11" i="11"/>
  <c r="AF11" i="11"/>
  <c r="AI12" i="11"/>
  <c r="E5" i="11"/>
  <c r="AF8" i="11"/>
  <c r="AF12" i="11"/>
  <c r="AI17" i="11"/>
  <c r="AF17" i="11"/>
  <c r="AF14" i="11"/>
  <c r="AI13" i="11"/>
  <c r="AF10" i="11"/>
  <c r="AI14" i="11"/>
  <c r="AI16" i="11"/>
  <c r="Q16" i="11"/>
  <c r="Q14" i="11"/>
  <c r="Q17" i="11"/>
  <c r="Q13" i="11"/>
  <c r="M181" i="6" s="1"/>
  <c r="Q11" i="11"/>
  <c r="AE17" i="11"/>
  <c r="AE13" i="11"/>
  <c r="F6" i="11"/>
  <c r="AE14" i="11"/>
  <c r="AE8" i="11"/>
  <c r="AE9" i="11"/>
  <c r="AE12" i="11"/>
  <c r="AE10" i="11"/>
  <c r="AE11" i="11"/>
  <c r="AE16" i="11"/>
  <c r="T5" i="11"/>
  <c r="M15" i="11"/>
  <c r="L9" i="11"/>
  <c r="M5" i="11"/>
  <c r="I180" i="6" s="1"/>
  <c r="H67" i="6"/>
  <c r="G67" i="6"/>
  <c r="E67" i="6"/>
  <c r="F67" i="6"/>
  <c r="D67" i="6"/>
  <c r="C67" i="6"/>
  <c r="F12" i="5"/>
  <c r="F10" i="5"/>
  <c r="T60" i="6" s="1"/>
  <c r="T70" i="6" s="1"/>
  <c r="P68" i="6"/>
  <c r="CK3" i="11" s="1"/>
  <c r="CK19" i="11" s="1"/>
  <c r="AK182" i="6" s="1"/>
  <c r="P67" i="6"/>
  <c r="CJ3" i="11" s="1"/>
  <c r="CJ19" i="11" s="1"/>
  <c r="AJ182" i="6" s="1"/>
  <c r="P66" i="6"/>
  <c r="P65" i="6"/>
  <c r="D17" i="5"/>
  <c r="J186" i="6" s="1"/>
  <c r="D19" i="5"/>
  <c r="J188" i="6" s="1"/>
  <c r="P64" i="6"/>
  <c r="W57" i="6"/>
  <c r="Y57" i="6"/>
  <c r="V57" i="6"/>
  <c r="J5" i="8"/>
  <c r="B5" i="8" s="1"/>
  <c r="AH62" i="6" s="1"/>
  <c r="F5" i="8"/>
  <c r="B25" i="10"/>
  <c r="F26" i="8"/>
  <c r="D15" i="5"/>
  <c r="P69" i="6"/>
  <c r="CD3" i="11" s="1"/>
  <c r="CD19" i="11" s="1"/>
  <c r="F13" i="8"/>
  <c r="G22" i="8" s="1"/>
  <c r="J22" i="8" s="1"/>
  <c r="B22" i="8" s="1"/>
  <c r="P63" i="6"/>
  <c r="E16" i="7"/>
  <c r="B63" i="6" s="1"/>
  <c r="H63" i="6" s="1"/>
  <c r="E17" i="7"/>
  <c r="B64" i="6" s="1"/>
  <c r="E18" i="7"/>
  <c r="B65" i="6" s="1"/>
  <c r="I15" i="7"/>
  <c r="I30" i="7" s="1"/>
  <c r="B30" i="7" s="1"/>
  <c r="D9" i="5"/>
  <c r="I6" i="7"/>
  <c r="I8" i="7" s="1"/>
  <c r="I9" i="7" s="1"/>
  <c r="I35" i="7"/>
  <c r="I36" i="7" s="1"/>
  <c r="E36" i="7"/>
  <c r="D11" i="5"/>
  <c r="I32" i="7"/>
  <c r="I33" i="7" s="1"/>
  <c r="E33" i="7"/>
  <c r="E34" i="7" s="1"/>
  <c r="B13" i="7"/>
  <c r="N5" i="11" s="1"/>
  <c r="B31" i="7"/>
  <c r="I29" i="7"/>
  <c r="B29" i="7" s="1"/>
  <c r="F9" i="5" s="1"/>
  <c r="E8" i="7"/>
  <c r="E9" i="7" s="1"/>
  <c r="W12" i="4"/>
  <c r="V12" i="4" s="1"/>
  <c r="AD12" i="4"/>
  <c r="AI12" i="4" s="1"/>
  <c r="J11" i="4"/>
  <c r="K11" i="4" s="1"/>
  <c r="J13" i="4"/>
  <c r="K13" i="4" s="1"/>
  <c r="K14" i="4" s="1"/>
  <c r="J14" i="4" s="1"/>
  <c r="E7" i="4"/>
  <c r="G7" i="4" s="1"/>
  <c r="H7" i="4" s="1"/>
  <c r="AD7" i="4"/>
  <c r="AC7" i="4"/>
  <c r="AG7" i="4" s="1"/>
  <c r="AF7" i="4"/>
  <c r="T7" i="4"/>
  <c r="U7" i="4" s="1"/>
  <c r="V7" i="4" s="1"/>
  <c r="S7" i="4"/>
  <c r="R7" i="4"/>
  <c r="W10" i="4"/>
  <c r="V10" i="4" s="1"/>
  <c r="AD10" i="4"/>
  <c r="AI10" i="4" s="1"/>
  <c r="U6" i="4"/>
  <c r="V6" i="4" s="1"/>
  <c r="E6" i="4"/>
  <c r="G6" i="4" s="1"/>
  <c r="H6" i="4" s="1"/>
  <c r="AD6" i="4"/>
  <c r="AI6" i="4" s="1"/>
  <c r="AC6" i="4"/>
  <c r="AG6" i="4" s="1"/>
  <c r="AF6" i="4"/>
  <c r="J184" i="6" l="1"/>
  <c r="K184" i="6" s="1"/>
  <c r="D42" i="5"/>
  <c r="U57" i="6"/>
  <c r="Z57" i="6"/>
  <c r="AG172" i="6"/>
  <c r="X190" i="6"/>
  <c r="AG171" i="6"/>
  <c r="W190" i="6"/>
  <c r="AD182" i="6"/>
  <c r="S197" i="6" s="1"/>
  <c r="M8" i="11"/>
  <c r="K188" i="6"/>
  <c r="L188" i="6"/>
  <c r="S188" i="6" s="1"/>
  <c r="K186" i="6"/>
  <c r="L186" i="6"/>
  <c r="S186" i="6" s="1"/>
  <c r="D82" i="6"/>
  <c r="N107" i="6" s="1"/>
  <c r="N150" i="6" s="1"/>
  <c r="L187" i="6"/>
  <c r="S187" i="6" s="1"/>
  <c r="D13" i="5"/>
  <c r="CD8" i="11"/>
  <c r="CD11" i="11"/>
  <c r="CD14" i="11"/>
  <c r="CD17" i="11"/>
  <c r="CD16" i="11"/>
  <c r="CD6" i="11"/>
  <c r="CD9" i="11"/>
  <c r="CD15" i="11"/>
  <c r="CD7" i="11"/>
  <c r="CD10" i="11"/>
  <c r="CD12" i="11"/>
  <c r="CD13" i="11"/>
  <c r="AD181" i="6" s="1"/>
  <c r="CD5" i="11"/>
  <c r="AD180" i="6" s="1"/>
  <c r="AF169" i="6" s="1"/>
  <c r="C135" i="6"/>
  <c r="E135" i="6" s="1"/>
  <c r="CJ13" i="11"/>
  <c r="AJ181" i="6" s="1"/>
  <c r="CJ16" i="11"/>
  <c r="CJ11" i="11"/>
  <c r="CJ14" i="11"/>
  <c r="CJ17" i="11"/>
  <c r="CJ6" i="11"/>
  <c r="CJ15" i="11"/>
  <c r="CE8" i="11"/>
  <c r="CE11" i="11"/>
  <c r="CE14" i="11"/>
  <c r="CE17" i="11"/>
  <c r="CE13" i="11"/>
  <c r="AE181" i="6" s="1"/>
  <c r="CE16" i="11"/>
  <c r="CE6" i="11"/>
  <c r="CE9" i="11"/>
  <c r="CE12" i="11"/>
  <c r="CE15" i="11"/>
  <c r="CE5" i="11"/>
  <c r="AE180" i="6" s="1"/>
  <c r="CE10" i="11"/>
  <c r="C158" i="6"/>
  <c r="CK8" i="11"/>
  <c r="CK17" i="11"/>
  <c r="CK10" i="11"/>
  <c r="CK16" i="11"/>
  <c r="J180" i="6"/>
  <c r="G5" i="11"/>
  <c r="C180" i="6"/>
  <c r="BU15" i="11"/>
  <c r="M6" i="11"/>
  <c r="M7" i="11" s="1"/>
  <c r="D7" i="11" s="1"/>
  <c r="C159" i="6"/>
  <c r="G144" i="6"/>
  <c r="C144" i="6" s="1"/>
  <c r="B135" i="6"/>
  <c r="B136" i="6" s="1"/>
  <c r="G145" i="6"/>
  <c r="C160" i="6"/>
  <c r="B159" i="6"/>
  <c r="H144" i="6"/>
  <c r="B22" i="12"/>
  <c r="B13" i="12"/>
  <c r="AN15" i="11" a="1"/>
  <c r="AN15" i="11" s="1"/>
  <c r="T59" i="6"/>
  <c r="L100" i="6" s="1"/>
  <c r="H24" i="9"/>
  <c r="O15" i="11"/>
  <c r="AA15" i="11" s="1"/>
  <c r="CK15" i="11" s="1"/>
  <c r="I22" i="7"/>
  <c r="B22" i="7" s="1"/>
  <c r="B68" i="6"/>
  <c r="AJ14" i="11"/>
  <c r="AJ16" i="11"/>
  <c r="X15" i="11"/>
  <c r="AJ12" i="11"/>
  <c r="AJ13" i="11"/>
  <c r="L12" i="11"/>
  <c r="M12" i="11" s="1"/>
  <c r="M9" i="11"/>
  <c r="AJ17" i="11"/>
  <c r="F7" i="11"/>
  <c r="CE7" i="11" s="1"/>
  <c r="T6" i="11"/>
  <c r="AE6" i="11"/>
  <c r="W5" i="11"/>
  <c r="V5" i="11"/>
  <c r="U5" i="11"/>
  <c r="AJ11" i="11"/>
  <c r="AJ10" i="11"/>
  <c r="AJ9" i="11"/>
  <c r="AJ8" i="11"/>
  <c r="N6" i="11"/>
  <c r="N7" i="11" s="1"/>
  <c r="N11" i="11" s="1"/>
  <c r="F11" i="5"/>
  <c r="F13" i="5" s="1"/>
  <c r="D65" i="6"/>
  <c r="H65" i="6"/>
  <c r="E65" i="6"/>
  <c r="C65" i="6"/>
  <c r="G65" i="6"/>
  <c r="F65" i="6"/>
  <c r="AH67" i="6"/>
  <c r="C117" i="6" s="1"/>
  <c r="H64" i="6"/>
  <c r="C64" i="6"/>
  <c r="G64" i="6"/>
  <c r="F64" i="6"/>
  <c r="E64" i="6"/>
  <c r="D64" i="6"/>
  <c r="F63" i="6"/>
  <c r="E63" i="6"/>
  <c r="D63" i="6"/>
  <c r="G63" i="6"/>
  <c r="C63" i="6"/>
  <c r="D27" i="5"/>
  <c r="B20" i="10"/>
  <c r="B22" i="10"/>
  <c r="G23" i="8"/>
  <c r="J23" i="8" s="1"/>
  <c r="B23" i="8" s="1"/>
  <c r="B35" i="7"/>
  <c r="B36" i="7"/>
  <c r="B6" i="7"/>
  <c r="B15" i="7"/>
  <c r="B9" i="7"/>
  <c r="B32" i="7"/>
  <c r="J26" i="8"/>
  <c r="B26" i="8" s="1"/>
  <c r="J25" i="8"/>
  <c r="B25" i="8" s="1"/>
  <c r="I16" i="7"/>
  <c r="B16" i="7" s="1"/>
  <c r="T63" i="6" s="1"/>
  <c r="I18" i="7"/>
  <c r="B18" i="7" s="1"/>
  <c r="T65" i="6" s="1"/>
  <c r="E19" i="7"/>
  <c r="I17" i="7"/>
  <c r="B17" i="7" s="1"/>
  <c r="T64" i="6" s="1"/>
  <c r="B33" i="7"/>
  <c r="B8" i="7"/>
  <c r="I11" i="7"/>
  <c r="B11" i="7" s="1"/>
  <c r="I34" i="7"/>
  <c r="B34" i="7" s="1"/>
  <c r="AI7" i="4"/>
  <c r="AG169" i="6" l="1"/>
  <c r="J196" i="6"/>
  <c r="Y15" i="11"/>
  <c r="BV15" i="11" s="1"/>
  <c r="D6" i="11"/>
  <c r="AI6" i="11" s="1"/>
  <c r="H5" i="11"/>
  <c r="E180" i="6"/>
  <c r="AN5" i="11" a="1"/>
  <c r="AN5" i="11" s="1"/>
  <c r="N180" i="6" s="1"/>
  <c r="BU5" i="11"/>
  <c r="H135" i="6"/>
  <c r="E159" i="6"/>
  <c r="I159" i="6" s="1"/>
  <c r="L143" i="6" a="1"/>
  <c r="L143" i="6" s="1"/>
  <c r="B137" i="6"/>
  <c r="C136" i="6"/>
  <c r="B145" i="6"/>
  <c r="D160" i="6"/>
  <c r="L145" i="6"/>
  <c r="J159" i="6"/>
  <c r="F32" i="13"/>
  <c r="E32" i="13"/>
  <c r="B15" i="12"/>
  <c r="B16" i="12"/>
  <c r="B23" i="12"/>
  <c r="AI67" i="6"/>
  <c r="AD67" i="6" s="1"/>
  <c r="G102" i="6"/>
  <c r="B93" i="6"/>
  <c r="G68" i="6"/>
  <c r="C68" i="6"/>
  <c r="H68" i="6"/>
  <c r="F68" i="6"/>
  <c r="E68" i="6"/>
  <c r="D68" i="6"/>
  <c r="AA5" i="11"/>
  <c r="CK5" i="11" s="1"/>
  <c r="AK180" i="6" s="1"/>
  <c r="AF172" i="6" s="1"/>
  <c r="O5" i="11"/>
  <c r="O11" i="11" s="1"/>
  <c r="AA11" i="11" s="1"/>
  <c r="T68" i="6"/>
  <c r="X5" i="11"/>
  <c r="T7" i="11"/>
  <c r="AE7" i="11"/>
  <c r="V6" i="11"/>
  <c r="U6" i="11"/>
  <c r="W6" i="11"/>
  <c r="AI7" i="11"/>
  <c r="AF7" i="11"/>
  <c r="E7" i="11"/>
  <c r="G7" i="11" s="1"/>
  <c r="H7" i="11" s="1"/>
  <c r="I7" i="11" s="1"/>
  <c r="AH69" i="6"/>
  <c r="O99" i="6" s="1"/>
  <c r="AH68" i="6"/>
  <c r="C118" i="6" s="1"/>
  <c r="AI62" i="6"/>
  <c r="AE62" i="6" s="1"/>
  <c r="X62" i="6" s="1"/>
  <c r="C85" i="6"/>
  <c r="I19" i="7"/>
  <c r="B19" i="7" s="1"/>
  <c r="E20" i="7"/>
  <c r="B66" i="6" s="1"/>
  <c r="Q70" i="6" s="1"/>
  <c r="I12" i="7"/>
  <c r="B12" i="7" s="1"/>
  <c r="I10" i="7"/>
  <c r="B10" i="7" s="1"/>
  <c r="K5" i="11" s="1"/>
  <c r="G180" i="6" s="1"/>
  <c r="AO15" i="11" l="1"/>
  <c r="K196" i="6"/>
  <c r="E6" i="11"/>
  <c r="G6" i="11" s="1"/>
  <c r="H6" i="11" s="1"/>
  <c r="I6" i="11" s="1"/>
  <c r="Y11" i="11"/>
  <c r="CK11" i="11"/>
  <c r="BU6" i="11"/>
  <c r="Q6" i="11"/>
  <c r="CI3" i="11"/>
  <c r="CI19" i="11" s="1"/>
  <c r="AI182" i="6" s="1"/>
  <c r="V190" i="6" s="1"/>
  <c r="CG3" i="11"/>
  <c r="CG19" i="11" s="1"/>
  <c r="AG182" i="6" s="1"/>
  <c r="CF3" i="11"/>
  <c r="CF19" i="11" s="1"/>
  <c r="AF182" i="6" s="1"/>
  <c r="CH3" i="11"/>
  <c r="CH19" i="11" s="1"/>
  <c r="AH182" i="6" s="1"/>
  <c r="D175" i="6"/>
  <c r="X175" i="6"/>
  <c r="AF6" i="11"/>
  <c r="AJ6" i="11" s="1"/>
  <c r="L6" i="11"/>
  <c r="L11" i="11" s="1"/>
  <c r="M11" i="11" s="1"/>
  <c r="D171" i="6"/>
  <c r="X171" i="6"/>
  <c r="G159" i="6"/>
  <c r="M145" i="6" s="1"/>
  <c r="BZ3" i="11" s="1"/>
  <c r="O7" i="11"/>
  <c r="AA7" i="11" s="1"/>
  <c r="CK7" i="11" s="1"/>
  <c r="O6" i="11"/>
  <c r="AA6" i="11" s="1"/>
  <c r="CK6" i="11" s="1"/>
  <c r="K180" i="6"/>
  <c r="O12" i="11"/>
  <c r="AA12" i="11" s="1"/>
  <c r="CK12" i="11" s="1"/>
  <c r="O13" i="11"/>
  <c r="O14" i="11"/>
  <c r="AA14" i="11" s="1"/>
  <c r="AG14" i="11" s="1"/>
  <c r="AL14" i="11" s="1"/>
  <c r="O9" i="11"/>
  <c r="AA9" i="11" s="1"/>
  <c r="CK9" i="11" s="1"/>
  <c r="I5" i="11"/>
  <c r="F180" i="6"/>
  <c r="D13" i="10"/>
  <c r="E13" i="10"/>
  <c r="BI3" i="11" s="1"/>
  <c r="H145" i="6"/>
  <c r="B150" i="6" s="1"/>
  <c r="B160" i="6"/>
  <c r="C145" i="6"/>
  <c r="D158" i="6"/>
  <c r="B149" i="6"/>
  <c r="C137" i="6"/>
  <c r="E137" i="6" s="1"/>
  <c r="H137" i="6" s="1"/>
  <c r="E136" i="6"/>
  <c r="H136" i="6" s="1"/>
  <c r="B139" i="6"/>
  <c r="B140" i="6" a="1"/>
  <c r="B140" i="6" s="1"/>
  <c r="B143" i="6" s="1"/>
  <c r="H143" i="6" s="1"/>
  <c r="AF67" i="6"/>
  <c r="AC67" i="6"/>
  <c r="B18" i="12"/>
  <c r="B19" i="12"/>
  <c r="AG67" i="6"/>
  <c r="O100" i="6"/>
  <c r="E6" i="10" s="1"/>
  <c r="BJ3" i="11" s="1"/>
  <c r="B26" i="12"/>
  <c r="AB67" i="6"/>
  <c r="B94" i="6"/>
  <c r="B95" i="6" s="1"/>
  <c r="B103" i="6"/>
  <c r="B118" i="6" s="1"/>
  <c r="L104" i="6" s="1"/>
  <c r="D118" i="6"/>
  <c r="AE67" i="6"/>
  <c r="G103" i="6"/>
  <c r="AN6" i="11" a="1"/>
  <c r="AN6" i="11" s="1"/>
  <c r="AI69" i="6"/>
  <c r="AG69" i="6" s="1"/>
  <c r="X6" i="11"/>
  <c r="Z5" i="11"/>
  <c r="CJ5" i="11" s="1"/>
  <c r="AJ180" i="6" s="1"/>
  <c r="AF171" i="6" s="1"/>
  <c r="K8" i="11"/>
  <c r="K9" i="11"/>
  <c r="K7" i="11"/>
  <c r="Q5" i="11"/>
  <c r="M180" i="6" s="1"/>
  <c r="AG17" i="11"/>
  <c r="AL17" i="11" s="1"/>
  <c r="AG16" i="11"/>
  <c r="AL16" i="11" s="1"/>
  <c r="AG11" i="11"/>
  <c r="AL11" i="11" s="1"/>
  <c r="AJ7" i="11"/>
  <c r="W7" i="11"/>
  <c r="V7" i="11"/>
  <c r="U7" i="11"/>
  <c r="AI68" i="6"/>
  <c r="AB68" i="6" s="1"/>
  <c r="U68" i="6" s="1"/>
  <c r="E66" i="6"/>
  <c r="C66" i="6"/>
  <c r="G66" i="6"/>
  <c r="H66" i="6"/>
  <c r="F66" i="6"/>
  <c r="D66" i="6"/>
  <c r="G17" i="8"/>
  <c r="J17" i="8" s="1"/>
  <c r="AC62" i="6"/>
  <c r="V62" i="6" s="1"/>
  <c r="AD62" i="6"/>
  <c r="W62" i="6" s="1"/>
  <c r="AG62" i="6"/>
  <c r="Z62" i="6" s="1"/>
  <c r="AB62" i="6"/>
  <c r="U62" i="6" s="1"/>
  <c r="AF62" i="6"/>
  <c r="Y62" i="6" s="1"/>
  <c r="I21" i="7"/>
  <c r="I14" i="7"/>
  <c r="B14" i="7" s="1"/>
  <c r="U190" i="6" l="1"/>
  <c r="AG175" i="6" a="1"/>
  <c r="AG175" i="6" s="1"/>
  <c r="S190" i="6"/>
  <c r="AG174" i="6" a="1"/>
  <c r="AG174" i="6" s="1"/>
  <c r="AG6" i="11"/>
  <c r="AL6" i="11" s="1"/>
  <c r="Y6" i="11"/>
  <c r="BV6" i="11" s="1"/>
  <c r="K181" i="6"/>
  <c r="Y172" i="6" s="1"/>
  <c r="AA13" i="11"/>
  <c r="Y14" i="11"/>
  <c r="CI14" i="11" s="1"/>
  <c r="CK14" i="11"/>
  <c r="BV11" i="11"/>
  <c r="AO11" i="11"/>
  <c r="CH6" i="11"/>
  <c r="CH9" i="11"/>
  <c r="CH12" i="11"/>
  <c r="CH15" i="11"/>
  <c r="CH5" i="11"/>
  <c r="AH180" i="6" s="1"/>
  <c r="CH7" i="11"/>
  <c r="CH10" i="11"/>
  <c r="CH13" i="11"/>
  <c r="AH181" i="6" s="1"/>
  <c r="CH16" i="11"/>
  <c r="CH11" i="11"/>
  <c r="CH14" i="11"/>
  <c r="CH17" i="11"/>
  <c r="CH8" i="11"/>
  <c r="CF7" i="11"/>
  <c r="CF13" i="11"/>
  <c r="AF181" i="6" s="1"/>
  <c r="CF16" i="11"/>
  <c r="CF6" i="11"/>
  <c r="CF9" i="11"/>
  <c r="CF15" i="11"/>
  <c r="CF8" i="11"/>
  <c r="CF11" i="11"/>
  <c r="CF14" i="11"/>
  <c r="CF17" i="11"/>
  <c r="CF5" i="11"/>
  <c r="AF180" i="6" s="1"/>
  <c r="CF10" i="11"/>
  <c r="CF12" i="11"/>
  <c r="CG7" i="11"/>
  <c r="CG16" i="11"/>
  <c r="CG6" i="11"/>
  <c r="CG10" i="11"/>
  <c r="CG5" i="11"/>
  <c r="AG180" i="6" s="1"/>
  <c r="CG8" i="11"/>
  <c r="CG11" i="11"/>
  <c r="CG14" i="11"/>
  <c r="CG17" i="11"/>
  <c r="CG13" i="11"/>
  <c r="AG181" i="6" s="1"/>
  <c r="CG9" i="11"/>
  <c r="CG12" i="11"/>
  <c r="CG15" i="11"/>
  <c r="CI16" i="11"/>
  <c r="CI15" i="11"/>
  <c r="CI11" i="11"/>
  <c r="CI17" i="11"/>
  <c r="B151" i="6"/>
  <c r="B158" i="6" s="1"/>
  <c r="L144" i="6" s="1"/>
  <c r="E118" i="6"/>
  <c r="O104" i="6" s="1"/>
  <c r="E10" i="10" s="1"/>
  <c r="BN3" i="11" s="1"/>
  <c r="BN5" i="11" s="1"/>
  <c r="N145" i="6"/>
  <c r="L13" i="11"/>
  <c r="D172" i="6"/>
  <c r="X172" i="6"/>
  <c r="BU7" i="11"/>
  <c r="BJ13" i="11"/>
  <c r="BJ10" i="11"/>
  <c r="BJ9" i="11"/>
  <c r="BJ17" i="11"/>
  <c r="BJ16" i="11"/>
  <c r="BJ11" i="11"/>
  <c r="BJ8" i="11"/>
  <c r="BJ12" i="11"/>
  <c r="BJ14" i="11"/>
  <c r="BJ15" i="11"/>
  <c r="BJ5" i="11"/>
  <c r="BJ6" i="11"/>
  <c r="BJ7" i="11"/>
  <c r="B152" i="6"/>
  <c r="I140" i="6" a="1"/>
  <c r="I140" i="6" s="1"/>
  <c r="C143" i="6" s="1"/>
  <c r="I143" i="6" s="1"/>
  <c r="I139" i="6"/>
  <c r="L146" i="6"/>
  <c r="E160" i="6"/>
  <c r="G160" i="6" s="1"/>
  <c r="M146" i="6" s="1"/>
  <c r="BZ17" i="11"/>
  <c r="BZ15" i="11"/>
  <c r="BZ13" i="11"/>
  <c r="BZ6" i="11"/>
  <c r="BZ11" i="11"/>
  <c r="BZ16" i="11"/>
  <c r="BZ5" i="11"/>
  <c r="BZ14" i="11"/>
  <c r="BI9" i="11"/>
  <c r="BI7" i="11"/>
  <c r="BI16" i="11"/>
  <c r="BI5" i="11"/>
  <c r="BI17" i="11"/>
  <c r="BI8" i="11"/>
  <c r="BI14" i="11"/>
  <c r="BI10" i="11"/>
  <c r="BI6" i="11"/>
  <c r="BI11" i="11"/>
  <c r="BI13" i="11"/>
  <c r="BI15" i="11"/>
  <c r="BI12" i="11"/>
  <c r="Y5" i="11"/>
  <c r="CI5" i="11" s="1"/>
  <c r="AI180" i="6" s="1"/>
  <c r="B17" i="12"/>
  <c r="B21" i="12"/>
  <c r="L101" i="6" a="1"/>
  <c r="L101" i="6" s="1"/>
  <c r="B97" i="6"/>
  <c r="B98" i="6" s="1" a="1"/>
  <c r="B98" i="6" s="1"/>
  <c r="B101" i="6" s="1"/>
  <c r="H101" i="6" s="1"/>
  <c r="AN7" i="11" a="1"/>
  <c r="AN7" i="11" s="1"/>
  <c r="AB69" i="6"/>
  <c r="U69" i="6" s="1"/>
  <c r="AE69" i="6"/>
  <c r="X69" i="6" s="1"/>
  <c r="AD69" i="6"/>
  <c r="W69" i="6" s="1"/>
  <c r="AF69" i="6"/>
  <c r="AC69" i="6"/>
  <c r="V69" i="6" s="1"/>
  <c r="X7" i="11"/>
  <c r="AF68" i="6"/>
  <c r="Y68" i="6" s="1"/>
  <c r="Z8" i="11"/>
  <c r="Q8" i="11"/>
  <c r="K10" i="11"/>
  <c r="AG8" i="11"/>
  <c r="AL8" i="11" s="1"/>
  <c r="AE68" i="6"/>
  <c r="X68" i="6" s="1"/>
  <c r="Z7" i="11"/>
  <c r="Q7" i="11"/>
  <c r="AG7" i="11"/>
  <c r="AL7" i="11" s="1"/>
  <c r="B15" i="10"/>
  <c r="AD68" i="6"/>
  <c r="W68" i="6" s="1"/>
  <c r="Q9" i="11"/>
  <c r="K12" i="11"/>
  <c r="AG9" i="11"/>
  <c r="AL9" i="11" s="1"/>
  <c r="Z9" i="11"/>
  <c r="AG68" i="6"/>
  <c r="Z68" i="6" s="1"/>
  <c r="AC68" i="6"/>
  <c r="V68" i="6" s="1"/>
  <c r="F15" i="5"/>
  <c r="N184" i="6" s="1"/>
  <c r="B17" i="8"/>
  <c r="AI70" i="6" s="1"/>
  <c r="G21" i="8"/>
  <c r="G19" i="8"/>
  <c r="G20" i="8"/>
  <c r="G18" i="8"/>
  <c r="J18" i="8" s="1"/>
  <c r="I20" i="7"/>
  <c r="B20" i="7" s="1"/>
  <c r="T66" i="6" s="1"/>
  <c r="B21" i="7"/>
  <c r="T67" i="6" s="1"/>
  <c r="E172" i="6" l="1"/>
  <c r="AO6" i="11"/>
  <c r="H181" i="6"/>
  <c r="E170" i="6" s="1"/>
  <c r="L21" i="11"/>
  <c r="N186" i="6"/>
  <c r="N187" i="6"/>
  <c r="N188" i="6"/>
  <c r="CI6" i="11"/>
  <c r="AF175" i="6" a="1"/>
  <c r="AF175" i="6" s="1"/>
  <c r="AF174" i="6" a="1"/>
  <c r="AF174" i="6" s="1"/>
  <c r="BV14" i="11"/>
  <c r="AO14" i="11"/>
  <c r="Y13" i="11"/>
  <c r="CK13" i="11"/>
  <c r="AK181" i="6" s="1"/>
  <c r="AG13" i="11"/>
  <c r="AL13" i="11" s="1"/>
  <c r="E158" i="6"/>
  <c r="I158" i="6" s="1"/>
  <c r="BN8" i="11"/>
  <c r="BZ9" i="11"/>
  <c r="CJ9" i="11"/>
  <c r="BZ8" i="11"/>
  <c r="CJ8" i="11"/>
  <c r="BN15" i="11"/>
  <c r="BN6" i="11"/>
  <c r="BN13" i="11"/>
  <c r="M13" i="11"/>
  <c r="I181" i="6" s="1"/>
  <c r="BN10" i="11"/>
  <c r="BZ7" i="11"/>
  <c r="CJ7" i="11"/>
  <c r="BN14" i="11"/>
  <c r="BN9" i="11"/>
  <c r="BN7" i="11"/>
  <c r="BN17" i="11"/>
  <c r="BN11" i="11"/>
  <c r="BN16" i="11"/>
  <c r="BN12" i="11"/>
  <c r="AO5" i="11"/>
  <c r="O180" i="6" s="1"/>
  <c r="BV5" i="11"/>
  <c r="CA3" i="11"/>
  <c r="N146" i="6"/>
  <c r="Y9" i="11"/>
  <c r="CI9" i="11" s="1"/>
  <c r="Y8" i="11"/>
  <c r="CI8" i="11" s="1"/>
  <c r="B28" i="12"/>
  <c r="B27" i="12"/>
  <c r="D116" i="6"/>
  <c r="B102" i="6"/>
  <c r="B117" i="6" s="1"/>
  <c r="D117" i="6"/>
  <c r="B110" i="6"/>
  <c r="U67" i="6"/>
  <c r="B107" i="6"/>
  <c r="E121" i="6" s="1"/>
  <c r="Y7" i="11"/>
  <c r="CI7" i="11" s="1"/>
  <c r="B17" i="10"/>
  <c r="B16" i="10"/>
  <c r="Q10" i="11"/>
  <c r="Z10" i="11"/>
  <c r="AG10" i="11"/>
  <c r="AL10" i="11" s="1"/>
  <c r="B19" i="10"/>
  <c r="B18" i="10"/>
  <c r="Q12" i="11"/>
  <c r="Z12" i="11"/>
  <c r="AG12" i="11"/>
  <c r="AL12" i="11" s="1"/>
  <c r="B18" i="8"/>
  <c r="AH63" i="6" s="1"/>
  <c r="J20" i="8"/>
  <c r="B20" i="8" s="1"/>
  <c r="J19" i="8"/>
  <c r="B19" i="8" s="1"/>
  <c r="J21" i="8"/>
  <c r="B21" i="8" s="1"/>
  <c r="AH66" i="6" s="1"/>
  <c r="X67" i="6"/>
  <c r="W67" i="6"/>
  <c r="V67" i="6"/>
  <c r="Y67" i="6"/>
  <c r="Z67" i="6"/>
  <c r="E72" i="6"/>
  <c r="Y170" i="6" l="1"/>
  <c r="BV13" i="11"/>
  <c r="AO13" i="11"/>
  <c r="O181" i="6" s="1"/>
  <c r="CI13" i="11"/>
  <c r="AI181" i="6" s="1"/>
  <c r="M14" i="11"/>
  <c r="L14" i="11" s="1"/>
  <c r="BZ12" i="11"/>
  <c r="CJ12" i="11"/>
  <c r="BZ10" i="11"/>
  <c r="CJ10" i="11"/>
  <c r="D174" i="6"/>
  <c r="X174" i="6"/>
  <c r="AO9" i="11"/>
  <c r="BV9" i="11"/>
  <c r="AO7" i="11"/>
  <c r="BV7" i="11"/>
  <c r="AO8" i="11"/>
  <c r="BV8" i="11"/>
  <c r="CA7" i="11"/>
  <c r="CA12" i="11"/>
  <c r="CA17" i="11"/>
  <c r="CA10" i="11"/>
  <c r="CA5" i="11"/>
  <c r="CA8" i="11"/>
  <c r="CA13" i="11"/>
  <c r="CA6" i="11"/>
  <c r="CA11" i="11"/>
  <c r="CA16" i="11"/>
  <c r="CA14" i="11"/>
  <c r="CA15" i="11"/>
  <c r="CA9" i="11"/>
  <c r="Y10" i="11"/>
  <c r="CI10" i="11" s="1"/>
  <c r="Y12" i="11"/>
  <c r="CI12" i="11" s="1"/>
  <c r="L103" i="6"/>
  <c r="E117" i="6"/>
  <c r="C103" i="6"/>
  <c r="I103" i="6" s="1"/>
  <c r="H103" i="6"/>
  <c r="C102" i="6"/>
  <c r="H102" i="6"/>
  <c r="E75" i="6"/>
  <c r="E74" i="6"/>
  <c r="E73" i="6"/>
  <c r="AH64" i="6"/>
  <c r="AI64" i="6" s="1"/>
  <c r="AH65" i="6"/>
  <c r="D29" i="5"/>
  <c r="J198" i="6" s="1"/>
  <c r="AI66" i="6"/>
  <c r="AF66" i="6" s="1"/>
  <c r="Y66" i="6" s="1"/>
  <c r="C116" i="6"/>
  <c r="D24" i="5"/>
  <c r="J193" i="6" s="1"/>
  <c r="AI63" i="6"/>
  <c r="AB63" i="6" s="1"/>
  <c r="U63" i="6" s="1"/>
  <c r="C93" i="6"/>
  <c r="G72" i="6"/>
  <c r="D72" i="6"/>
  <c r="C72" i="6"/>
  <c r="D23" i="5"/>
  <c r="J192" i="6" s="1"/>
  <c r="D21" i="5"/>
  <c r="J190" i="6" s="1"/>
  <c r="D25" i="5"/>
  <c r="J194" i="6" s="1"/>
  <c r="F72" i="6"/>
  <c r="H72" i="6"/>
  <c r="F31" i="8"/>
  <c r="D35" i="5"/>
  <c r="S199" i="6" l="1"/>
  <c r="S198" i="6"/>
  <c r="K190" i="6"/>
  <c r="L197" i="6"/>
  <c r="L199" i="6"/>
  <c r="L196" i="6"/>
  <c r="K194" i="6"/>
  <c r="L194" i="6"/>
  <c r="K192" i="6"/>
  <c r="L192" i="6"/>
  <c r="K198" i="6"/>
  <c r="L198" i="6"/>
  <c r="K193" i="6"/>
  <c r="L193" i="6"/>
  <c r="J204" i="6"/>
  <c r="D34" i="5"/>
  <c r="J203" i="6" s="1"/>
  <c r="K203" i="6" s="1"/>
  <c r="D32" i="5"/>
  <c r="J201" i="6" s="1"/>
  <c r="K201" i="6" s="1"/>
  <c r="Y174" i="6"/>
  <c r="E174" i="6"/>
  <c r="AO12" i="11"/>
  <c r="BV12" i="11"/>
  <c r="AO10" i="11"/>
  <c r="BV10" i="11"/>
  <c r="I117" i="6"/>
  <c r="O103" i="6"/>
  <c r="E9" i="10" s="1"/>
  <c r="BM3" i="11" s="1"/>
  <c r="C94" i="6"/>
  <c r="E93" i="6"/>
  <c r="B109" i="6"/>
  <c r="B116" i="6" s="1"/>
  <c r="L102" i="6" s="1"/>
  <c r="B108" i="6"/>
  <c r="AI65" i="6"/>
  <c r="AC65" i="6" s="1"/>
  <c r="V65" i="6" s="1"/>
  <c r="AD64" i="6"/>
  <c r="W64" i="6" s="1"/>
  <c r="AF64" i="6"/>
  <c r="Y64" i="6" s="1"/>
  <c r="AC64" i="6"/>
  <c r="V64" i="6" s="1"/>
  <c r="AB64" i="6"/>
  <c r="U64" i="6" s="1"/>
  <c r="AG64" i="6"/>
  <c r="Z64" i="6" s="1"/>
  <c r="AE64" i="6"/>
  <c r="X64" i="6" s="1"/>
  <c r="H75" i="6"/>
  <c r="H74" i="6"/>
  <c r="H73" i="6"/>
  <c r="F75" i="6"/>
  <c r="F74" i="6"/>
  <c r="F73" i="6"/>
  <c r="C75" i="6"/>
  <c r="C73" i="6"/>
  <c r="C74" i="6"/>
  <c r="D75" i="6"/>
  <c r="D74" i="6"/>
  <c r="D73" i="6"/>
  <c r="G75" i="6"/>
  <c r="G74" i="6"/>
  <c r="G73" i="6"/>
  <c r="D37" i="5"/>
  <c r="J206" i="6" s="1"/>
  <c r="AC66" i="6"/>
  <c r="V66" i="6" s="1"/>
  <c r="AD66" i="6"/>
  <c r="W66" i="6" s="1"/>
  <c r="AB66" i="6"/>
  <c r="AG66" i="6"/>
  <c r="Z66" i="6" s="1"/>
  <c r="AE66" i="6"/>
  <c r="X66" i="6" s="1"/>
  <c r="AG63" i="6"/>
  <c r="Z63" i="6" s="1"/>
  <c r="AD63" i="6"/>
  <c r="W63" i="6" s="1"/>
  <c r="AC63" i="6"/>
  <c r="V63" i="6" s="1"/>
  <c r="AE63" i="6"/>
  <c r="X63" i="6" s="1"/>
  <c r="AF63" i="6"/>
  <c r="Y63" i="6" s="1"/>
  <c r="F30" i="8"/>
  <c r="D36" i="5"/>
  <c r="J205" i="6" s="1"/>
  <c r="F29" i="8"/>
  <c r="B72" i="6"/>
  <c r="F32" i="8"/>
  <c r="F33" i="8"/>
  <c r="D38" i="5"/>
  <c r="J207" i="6" s="1"/>
  <c r="D39" i="5"/>
  <c r="J208" i="6" s="1"/>
  <c r="K207" i="6" l="1"/>
  <c r="L207" i="6"/>
  <c r="K206" i="6"/>
  <c r="L206" i="6"/>
  <c r="K208" i="6"/>
  <c r="L208" i="6"/>
  <c r="K205" i="6"/>
  <c r="L205" i="6"/>
  <c r="K204" i="6"/>
  <c r="L204" i="6"/>
  <c r="BM16" i="11"/>
  <c r="BM6" i="11"/>
  <c r="BM13" i="11"/>
  <c r="BM17" i="11"/>
  <c r="BM14" i="11"/>
  <c r="BM11" i="11"/>
  <c r="BM15" i="11"/>
  <c r="BM5" i="11"/>
  <c r="BM7" i="11"/>
  <c r="BM9" i="11"/>
  <c r="BM8" i="11"/>
  <c r="BM10" i="11"/>
  <c r="BM12" i="11"/>
  <c r="C95" i="6"/>
  <c r="E95" i="6" s="1"/>
  <c r="E94" i="6"/>
  <c r="E116" i="6"/>
  <c r="I116" i="6" s="1"/>
  <c r="AD65" i="6"/>
  <c r="W65" i="6" s="1"/>
  <c r="W72" i="6" s="1"/>
  <c r="AF65" i="6"/>
  <c r="Y65" i="6" s="1"/>
  <c r="Y72" i="6" s="1"/>
  <c r="AG65" i="6"/>
  <c r="Z65" i="6" s="1"/>
  <c r="Z72" i="6" s="1"/>
  <c r="AE65" i="6"/>
  <c r="X65" i="6" s="1"/>
  <c r="X72" i="6" s="1"/>
  <c r="AB65" i="6"/>
  <c r="U65" i="6" s="1"/>
  <c r="F34" i="8"/>
  <c r="F35" i="8" s="1"/>
  <c r="U66" i="6"/>
  <c r="V72" i="6"/>
  <c r="B75" i="6"/>
  <c r="B73" i="6"/>
  <c r="B74" i="6"/>
  <c r="D78" i="6" s="1"/>
  <c r="I146" i="6" s="1"/>
  <c r="B77" i="6" l="1"/>
  <c r="D77" i="6"/>
  <c r="D79" i="6"/>
  <c r="F126" i="6" s="1"/>
  <c r="H127" i="6" s="1"/>
  <c r="B78" i="6"/>
  <c r="I147" i="6"/>
  <c r="F124" i="6"/>
  <c r="H124" i="6" s="1"/>
  <c r="I124" i="6" s="1"/>
  <c r="M141" i="6" s="1"/>
  <c r="B79" i="6"/>
  <c r="F21" i="5"/>
  <c r="V74" i="6"/>
  <c r="V75" i="6"/>
  <c r="V73" i="6"/>
  <c r="X74" i="6"/>
  <c r="X75" i="6"/>
  <c r="X73" i="6"/>
  <c r="W75" i="6"/>
  <c r="W73" i="6"/>
  <c r="W74" i="6"/>
  <c r="Y75" i="6"/>
  <c r="Y73" i="6"/>
  <c r="Y74" i="6"/>
  <c r="Z73" i="6"/>
  <c r="Z74" i="6"/>
  <c r="Z75" i="6"/>
  <c r="U72" i="6"/>
  <c r="B32" i="10"/>
  <c r="J30" i="8"/>
  <c r="B30" i="8" s="1"/>
  <c r="J32" i="8"/>
  <c r="B32" i="8" s="1"/>
  <c r="B30" i="10"/>
  <c r="J31" i="8"/>
  <c r="B31" i="8" s="1"/>
  <c r="J33" i="8"/>
  <c r="B33" i="8" s="1"/>
  <c r="B31" i="10"/>
  <c r="B29" i="10"/>
  <c r="F32" i="5" l="1"/>
  <c r="G32" i="5" s="1"/>
  <c r="N190" i="6"/>
  <c r="C150" i="6"/>
  <c r="C149" i="6"/>
  <c r="C151" i="6"/>
  <c r="F158" i="6" s="1" a="1"/>
  <c r="F158" i="6" s="1"/>
  <c r="C152" i="6"/>
  <c r="I127" i="6"/>
  <c r="M142" i="6"/>
  <c r="N142" i="6" s="1"/>
  <c r="BW3" i="11"/>
  <c r="N141" i="6"/>
  <c r="U74" i="6"/>
  <c r="T74" i="6" s="1"/>
  <c r="I104" i="6" s="1"/>
  <c r="U75" i="6"/>
  <c r="T75" i="6" s="1"/>
  <c r="U73" i="6"/>
  <c r="T73" i="6" s="1"/>
  <c r="J29" i="8"/>
  <c r="B29" i="8" s="1"/>
  <c r="B28" i="10"/>
  <c r="T72" i="6"/>
  <c r="N193" i="6" l="1"/>
  <c r="P171" i="6" s="1"/>
  <c r="N194" i="6"/>
  <c r="R171" i="6" s="1"/>
  <c r="N195" i="6"/>
  <c r="N196" i="6"/>
  <c r="N197" i="6"/>
  <c r="N198" i="6"/>
  <c r="Q169" i="6" s="1"/>
  <c r="N199" i="6"/>
  <c r="P169" i="6" s="1"/>
  <c r="N192" i="6"/>
  <c r="O174" i="6" s="1"/>
  <c r="N201" i="6"/>
  <c r="BW15" i="11"/>
  <c r="BW8" i="11"/>
  <c r="BW13" i="11"/>
  <c r="BW6" i="11"/>
  <c r="BW16" i="11"/>
  <c r="BW9" i="11"/>
  <c r="BW14" i="11"/>
  <c r="BW5" i="11"/>
  <c r="BW7" i="11"/>
  <c r="BW12" i="11"/>
  <c r="BW11" i="11"/>
  <c r="BW10" i="11"/>
  <c r="BW17" i="11"/>
  <c r="C142" i="6"/>
  <c r="D133" i="6"/>
  <c r="F82" i="6"/>
  <c r="J34" i="8"/>
  <c r="J35" i="8" s="1"/>
  <c r="B35" i="8" s="1"/>
  <c r="T79" i="6"/>
  <c r="T78" i="6"/>
  <c r="T77" i="6"/>
  <c r="F84" i="6"/>
  <c r="O92" i="6" s="1"/>
  <c r="B33" i="10"/>
  <c r="B34" i="10"/>
  <c r="N206" i="6" l="1"/>
  <c r="N207" i="6"/>
  <c r="Q168" i="6" s="1"/>
  <c r="N208" i="6"/>
  <c r="R168" i="6" s="1"/>
  <c r="N204" i="6"/>
  <c r="N205" i="6"/>
  <c r="O175" i="6"/>
  <c r="R175" i="6"/>
  <c r="R174" i="6"/>
  <c r="R172" i="6"/>
  <c r="P172" i="6"/>
  <c r="P174" i="6"/>
  <c r="P175" i="6"/>
  <c r="D137" i="6"/>
  <c r="D135" i="6"/>
  <c r="D136" i="6"/>
  <c r="O95" i="6"/>
  <c r="O93" i="6"/>
  <c r="O94" i="6"/>
  <c r="H85" i="6"/>
  <c r="I85" i="6" s="1"/>
  <c r="C100" i="6" s="1"/>
  <c r="H82" i="6"/>
  <c r="B34" i="8"/>
  <c r="N203" i="6" l="1"/>
  <c r="O168" i="6" s="1"/>
  <c r="P167" i="6" s="1"/>
  <c r="P168" i="6"/>
  <c r="M100" i="6"/>
  <c r="D91" i="6"/>
  <c r="I82" i="6"/>
  <c r="M99" i="6" s="1"/>
  <c r="Q167" i="6" l="1"/>
  <c r="R167" i="6" s="1"/>
  <c r="N100" i="6"/>
  <c r="F16" i="9"/>
  <c r="AR3" i="11" s="1"/>
  <c r="N99" i="6"/>
  <c r="B121" i="6" s="1"/>
  <c r="F15" i="9"/>
  <c r="AQ3" i="11" s="1"/>
  <c r="AQ8" i="11" s="1"/>
  <c r="D93" i="6"/>
  <c r="F93" i="6" s="1"/>
  <c r="L93" i="6" s="1"/>
  <c r="P93" i="6" s="1"/>
  <c r="F135" i="6"/>
  <c r="F136" i="6"/>
  <c r="F137" i="6"/>
  <c r="D95" i="6"/>
  <c r="F95" i="6" s="1"/>
  <c r="L95" i="6" s="1"/>
  <c r="P95" i="6" s="1"/>
  <c r="D94" i="6"/>
  <c r="F94" i="6" s="1"/>
  <c r="L94" i="6" s="1"/>
  <c r="P94" i="6" s="1"/>
  <c r="O101" i="6" l="1" a="1"/>
  <c r="O101" i="6" s="1"/>
  <c r="E7" i="10" s="1"/>
  <c r="BK3" i="11" s="1"/>
  <c r="BK11" i="11" s="1"/>
  <c r="AR15" i="11"/>
  <c r="AR5" i="11"/>
  <c r="R180" i="6" s="1"/>
  <c r="AR11" i="11"/>
  <c r="AR7" i="11"/>
  <c r="AR12" i="11"/>
  <c r="AR9" i="11"/>
  <c r="AR13" i="11"/>
  <c r="R181" i="6" s="1"/>
  <c r="AR16" i="11"/>
  <c r="AR17" i="11"/>
  <c r="AR14" i="11"/>
  <c r="AR6" i="11"/>
  <c r="AR10" i="11"/>
  <c r="AR8" i="11"/>
  <c r="AQ15" i="11"/>
  <c r="I137" i="6"/>
  <c r="L137" i="6"/>
  <c r="I136" i="6"/>
  <c r="L136" i="6"/>
  <c r="I135" i="6"/>
  <c r="L135" i="6"/>
  <c r="AQ14" i="11"/>
  <c r="AQ7" i="11"/>
  <c r="AQ16" i="11"/>
  <c r="AQ5" i="11"/>
  <c r="Q180" i="6" s="1"/>
  <c r="AQ13" i="11"/>
  <c r="Q181" i="6" s="1"/>
  <c r="AQ12" i="11"/>
  <c r="AQ9" i="11"/>
  <c r="AQ11" i="11"/>
  <c r="AQ10" i="11"/>
  <c r="AQ6" i="11"/>
  <c r="AQ17" i="11"/>
  <c r="AB169" i="6" l="1"/>
  <c r="AD169" i="6"/>
  <c r="AA169" i="6"/>
  <c r="AC169" i="6"/>
  <c r="BK9" i="11"/>
  <c r="BK7" i="11"/>
  <c r="BK10" i="11"/>
  <c r="BK17" i="11"/>
  <c r="BK13" i="11"/>
  <c r="BK16" i="11"/>
  <c r="BK6" i="11"/>
  <c r="BK15" i="11"/>
  <c r="BK5" i="11"/>
  <c r="BK8" i="11"/>
  <c r="BK12" i="11"/>
  <c r="BK14" i="11"/>
  <c r="M135" i="6"/>
  <c r="M136" i="6"/>
  <c r="M137" i="6"/>
  <c r="M143" i="6" l="1" a="1"/>
  <c r="M143" i="6" s="1"/>
  <c r="N143" i="6" l="1"/>
  <c r="BX3" i="11"/>
  <c r="BX8" i="11" l="1"/>
  <c r="BX14" i="11"/>
  <c r="BX9" i="11"/>
  <c r="BX15" i="11"/>
  <c r="BX10" i="11"/>
  <c r="BX16" i="11"/>
  <c r="BX11" i="11"/>
  <c r="BX17" i="11"/>
  <c r="BX6" i="11"/>
  <c r="BX12" i="11"/>
  <c r="BX5" i="11"/>
  <c r="BX7" i="11"/>
  <c r="BX13" i="11"/>
  <c r="I94" i="6" l="1"/>
  <c r="H94" i="6"/>
  <c r="I95" i="6"/>
  <c r="I93" i="6"/>
  <c r="H93" i="6"/>
  <c r="H95" i="6"/>
  <c r="I97" i="6" s="1"/>
  <c r="I98" i="6" l="1" a="1"/>
  <c r="I98" i="6" s="1"/>
  <c r="C101" i="6" s="1"/>
  <c r="I101" i="6" s="1"/>
  <c r="I105" i="6" s="1"/>
  <c r="C107" i="6" l="1"/>
  <c r="J158" i="6"/>
  <c r="F118" i="6" a="1"/>
  <c r="F118" i="6" s="1"/>
  <c r="G118" i="6" s="1"/>
  <c r="M104" i="6" s="1"/>
  <c r="F117" i="6" a="1"/>
  <c r="F117" i="6" s="1"/>
  <c r="C108" i="6"/>
  <c r="C109" i="6"/>
  <c r="C110" i="6"/>
  <c r="F116" i="6" l="1" a="1"/>
  <c r="F116" i="6" s="1"/>
  <c r="N104" i="6"/>
  <c r="F20" i="9"/>
  <c r="AV3" i="11" s="1"/>
  <c r="G117" i="6"/>
  <c r="M103" i="6" s="1"/>
  <c r="J117" i="6"/>
  <c r="K93" i="6"/>
  <c r="M93" i="6" s="1"/>
  <c r="G116" i="6" l="1"/>
  <c r="M102" i="6" s="1"/>
  <c r="O102" i="6"/>
  <c r="E8" i="10" s="1"/>
  <c r="BL3" i="11" s="1"/>
  <c r="J116" i="6"/>
  <c r="G158" i="6"/>
  <c r="M144" i="6" s="1"/>
  <c r="AV17" i="11"/>
  <c r="AV12" i="11"/>
  <c r="AV5" i="11"/>
  <c r="V180" i="6" s="1"/>
  <c r="AC172" i="6" s="1"/>
  <c r="AV6" i="11"/>
  <c r="AV9" i="11"/>
  <c r="AV7" i="11"/>
  <c r="AV15" i="11"/>
  <c r="AV14" i="11"/>
  <c r="AV11" i="11"/>
  <c r="AV16" i="11"/>
  <c r="AV10" i="11"/>
  <c r="AV13" i="11"/>
  <c r="V181" i="6" s="1"/>
  <c r="AD172" i="6" s="1"/>
  <c r="AV8" i="11"/>
  <c r="N103" i="6"/>
  <c r="F19" i="9"/>
  <c r="AU3" i="11" s="1"/>
  <c r="K94" i="6"/>
  <c r="N144" i="6" l="1"/>
  <c r="N147" i="6" s="1"/>
  <c r="BY3" i="11"/>
  <c r="BL16" i="11"/>
  <c r="BO16" i="11" s="1"/>
  <c r="BL13" i="11"/>
  <c r="BL11" i="11"/>
  <c r="BO11" i="11" s="1"/>
  <c r="G31" i="10" s="1"/>
  <c r="BL17" i="11"/>
  <c r="BO17" i="11" s="1"/>
  <c r="BL14" i="11"/>
  <c r="BO14" i="11" s="1"/>
  <c r="G34" i="10" s="1"/>
  <c r="BL15" i="11"/>
  <c r="BO15" i="11" s="1"/>
  <c r="G35" i="10" s="1"/>
  <c r="BL6" i="11"/>
  <c r="BO6" i="11" s="1"/>
  <c r="G26" i="10" s="1"/>
  <c r="BL5" i="11"/>
  <c r="BL8" i="11"/>
  <c r="BO8" i="11" s="1"/>
  <c r="G28" i="10" s="1"/>
  <c r="BL7" i="11"/>
  <c r="BO7" i="11" s="1"/>
  <c r="G27" i="10" s="1"/>
  <c r="BL9" i="11"/>
  <c r="BO9" i="11" s="1"/>
  <c r="G29" i="10" s="1"/>
  <c r="BL10" i="11"/>
  <c r="BO10" i="11" s="1"/>
  <c r="G30" i="10" s="1"/>
  <c r="BL12" i="11"/>
  <c r="BO12" i="11" s="1"/>
  <c r="G32" i="10" s="1"/>
  <c r="N102" i="6"/>
  <c r="F18" i="9"/>
  <c r="AT3" i="11" s="1"/>
  <c r="AU17" i="11"/>
  <c r="AU7" i="11"/>
  <c r="AU11" i="11"/>
  <c r="AU14" i="11"/>
  <c r="AU8" i="11"/>
  <c r="AU9" i="11"/>
  <c r="AU6" i="11"/>
  <c r="AU16" i="11"/>
  <c r="AU15" i="11"/>
  <c r="AU12" i="11"/>
  <c r="AU13" i="11"/>
  <c r="U181" i="6" s="1"/>
  <c r="AD171" i="6" s="1"/>
  <c r="AU10" i="11"/>
  <c r="AU5" i="11"/>
  <c r="U180" i="6" s="1"/>
  <c r="AC171" i="6" s="1"/>
  <c r="M94" i="6"/>
  <c r="K95" i="6"/>
  <c r="M95" i="6" s="1"/>
  <c r="BO13" i="11" l="1"/>
  <c r="BO5" i="11"/>
  <c r="BY7" i="11"/>
  <c r="CB7" i="11" s="1"/>
  <c r="J15" i="12" s="1"/>
  <c r="BY13" i="11"/>
  <c r="BY9" i="11"/>
  <c r="CB9" i="11" s="1"/>
  <c r="J17" i="12" s="1"/>
  <c r="BY15" i="11"/>
  <c r="CB15" i="11" s="1"/>
  <c r="J23" i="12" s="1"/>
  <c r="BY10" i="11"/>
  <c r="CB10" i="11" s="1"/>
  <c r="J18" i="12" s="1"/>
  <c r="BY16" i="11"/>
  <c r="CB16" i="11" s="1"/>
  <c r="J24" i="12" s="1"/>
  <c r="BY17" i="11"/>
  <c r="CB17" i="11" s="1"/>
  <c r="J25" i="12" s="1"/>
  <c r="BY5" i="11"/>
  <c r="BY12" i="11"/>
  <c r="CB12" i="11" s="1"/>
  <c r="J20" i="12" s="1"/>
  <c r="BY8" i="11"/>
  <c r="CB8" i="11" s="1"/>
  <c r="J16" i="12" s="1"/>
  <c r="BY14" i="11"/>
  <c r="CB14" i="11" s="1"/>
  <c r="J22" i="12" s="1"/>
  <c r="BY11" i="11"/>
  <c r="CB11" i="11" s="1"/>
  <c r="J19" i="12" s="1"/>
  <c r="BY6" i="11"/>
  <c r="CB6" i="11" s="1"/>
  <c r="J14" i="12" s="1"/>
  <c r="AT16" i="11"/>
  <c r="AT13" i="11"/>
  <c r="T181" i="6" s="1"/>
  <c r="AD174" i="6" s="1"/>
  <c r="AT6" i="11"/>
  <c r="AT17" i="11"/>
  <c r="AT11" i="11"/>
  <c r="AT7" i="11"/>
  <c r="AT12" i="11"/>
  <c r="AT14" i="11"/>
  <c r="AT9" i="11"/>
  <c r="AT5" i="11"/>
  <c r="T180" i="6" s="1"/>
  <c r="AC174" i="6" s="1"/>
  <c r="AT8" i="11"/>
  <c r="AT10" i="11"/>
  <c r="AT15" i="11"/>
  <c r="M101" i="6" a="1"/>
  <c r="M101" i="6" s="1"/>
  <c r="N101" i="6" s="1"/>
  <c r="CB13" i="11" l="1"/>
  <c r="G25" i="10"/>
  <c r="CB5" i="11"/>
  <c r="CL5" i="11" s="1"/>
  <c r="CL19" i="11" s="1"/>
  <c r="G33" i="10"/>
  <c r="N105" i="6"/>
  <c r="C121" i="6" s="1"/>
  <c r="D121" i="6" s="1"/>
  <c r="F121" i="6" s="1"/>
  <c r="F17" i="9"/>
  <c r="AS3" i="11" s="1"/>
  <c r="AL182" i="6" l="1"/>
  <c r="S201" i="6" s="1"/>
  <c r="CM19" i="11"/>
  <c r="AM182" i="6" s="1"/>
  <c r="CN19" i="11"/>
  <c r="AN182" i="6" s="1"/>
  <c r="CO19" i="11"/>
  <c r="AO182" i="6" s="1"/>
  <c r="J13" i="12"/>
  <c r="CL3" i="11"/>
  <c r="CO3" i="11" s="1"/>
  <c r="AL180" i="6"/>
  <c r="J21" i="12"/>
  <c r="AB173" i="6"/>
  <c r="AB175" i="6"/>
  <c r="AB171" i="6"/>
  <c r="AA173" i="6"/>
  <c r="AA175" i="6"/>
  <c r="AA171" i="6"/>
  <c r="AB172" i="6"/>
  <c r="AA172" i="6"/>
  <c r="AA174" i="6"/>
  <c r="AB174" i="6"/>
  <c r="BA3" i="11"/>
  <c r="B30" i="9"/>
  <c r="AS10" i="11"/>
  <c r="AW10" i="11" s="1"/>
  <c r="H18" i="12" s="1"/>
  <c r="AS9" i="11"/>
  <c r="AW9" i="11" s="1"/>
  <c r="H17" i="12" s="1"/>
  <c r="AS11" i="11"/>
  <c r="AW11" i="11" s="1"/>
  <c r="H19" i="12" s="1"/>
  <c r="AS12" i="11"/>
  <c r="AW12" i="11" s="1"/>
  <c r="H20" i="12" s="1"/>
  <c r="AS13" i="11"/>
  <c r="AS5" i="11"/>
  <c r="AS6" i="11"/>
  <c r="AW6" i="11" s="1"/>
  <c r="H14" i="12" s="1"/>
  <c r="AS7" i="11"/>
  <c r="AW7" i="11" s="1"/>
  <c r="H15" i="12" s="1"/>
  <c r="AS14" i="11"/>
  <c r="AW14" i="11" s="1"/>
  <c r="H22" i="12" s="1"/>
  <c r="AS15" i="11"/>
  <c r="AW15" i="11" s="1"/>
  <c r="H23" i="12" s="1"/>
  <c r="AS16" i="11"/>
  <c r="AW16" i="11" s="1"/>
  <c r="H24" i="12" s="1"/>
  <c r="AS17" i="11"/>
  <c r="AW17" i="11" s="1"/>
  <c r="H25" i="12" s="1"/>
  <c r="AS8" i="11"/>
  <c r="AW8" i="11" s="1"/>
  <c r="H16" i="12" s="1"/>
  <c r="S205" i="6" l="1"/>
  <c r="S207" i="6"/>
  <c r="S206" i="6"/>
  <c r="S208" i="6"/>
  <c r="S204" i="6"/>
  <c r="AG168" i="6"/>
  <c r="CN3" i="11"/>
  <c r="CN14" i="11" s="1"/>
  <c r="CM3" i="11"/>
  <c r="CM11" i="11" s="1"/>
  <c r="BA13" i="11"/>
  <c r="AA181" i="6" s="1"/>
  <c r="BA5" i="11"/>
  <c r="CO16" i="11"/>
  <c r="CO9" i="11"/>
  <c r="CO13" i="11"/>
  <c r="AO181" i="6" s="1"/>
  <c r="CO6" i="11"/>
  <c r="CO12" i="11"/>
  <c r="CO11" i="11"/>
  <c r="CO17" i="11"/>
  <c r="CO10" i="11"/>
  <c r="CO15" i="11"/>
  <c r="CO5" i="11"/>
  <c r="CO14" i="11"/>
  <c r="CO7" i="11"/>
  <c r="CO8" i="11"/>
  <c r="AW5" i="11"/>
  <c r="F31" i="9" s="1"/>
  <c r="F25" i="9" s="1"/>
  <c r="S180" i="6"/>
  <c r="AC175" i="6" s="1"/>
  <c r="AW13" i="11"/>
  <c r="F39" i="9" s="1"/>
  <c r="S181" i="6"/>
  <c r="AD175" i="6" s="1"/>
  <c r="I30" i="9"/>
  <c r="BA17" i="11"/>
  <c r="BA6" i="11"/>
  <c r="BA7" i="11"/>
  <c r="BA8" i="11"/>
  <c r="BA9" i="11"/>
  <c r="BA10" i="11"/>
  <c r="BA11" i="11"/>
  <c r="BA12" i="11"/>
  <c r="BA14" i="11"/>
  <c r="BA15" i="11"/>
  <c r="BA16" i="11"/>
  <c r="AY16" i="11"/>
  <c r="AX16" i="11"/>
  <c r="F37" i="9"/>
  <c r="AY11" i="11"/>
  <c r="H37" i="9" s="1"/>
  <c r="AX11" i="11"/>
  <c r="G37" i="9" s="1"/>
  <c r="F40" i="9"/>
  <c r="AY14" i="11"/>
  <c r="H40" i="9" s="1"/>
  <c r="AX14" i="11"/>
  <c r="G40" i="9" s="1"/>
  <c r="F35" i="9"/>
  <c r="AY9" i="11"/>
  <c r="H35" i="9" s="1"/>
  <c r="AX9" i="11"/>
  <c r="G35" i="9" s="1"/>
  <c r="AX17" i="11"/>
  <c r="AY17" i="11"/>
  <c r="F41" i="9"/>
  <c r="AY15" i="11"/>
  <c r="H41" i="9" s="1"/>
  <c r="AX15" i="11"/>
  <c r="G41" i="9" s="1"/>
  <c r="F33" i="9"/>
  <c r="AY7" i="11"/>
  <c r="H33" i="9" s="1"/>
  <c r="AX7" i="11"/>
  <c r="G33" i="9" s="1"/>
  <c r="F32" i="9"/>
  <c r="AY6" i="11"/>
  <c r="H32" i="9" s="1"/>
  <c r="AX6" i="11"/>
  <c r="G32" i="9" s="1"/>
  <c r="F38" i="9"/>
  <c r="AY12" i="11"/>
  <c r="H38" i="9" s="1"/>
  <c r="AX12" i="11"/>
  <c r="G38" i="9" s="1"/>
  <c r="F34" i="9"/>
  <c r="AX8" i="11"/>
  <c r="G34" i="9" s="1"/>
  <c r="AY8" i="11"/>
  <c r="H34" i="9" s="1"/>
  <c r="F36" i="9"/>
  <c r="AX10" i="11"/>
  <c r="G36" i="9" s="1"/>
  <c r="AY10" i="11"/>
  <c r="H36" i="9" s="1"/>
  <c r="CM10" i="11" l="1"/>
  <c r="CM17" i="11"/>
  <c r="CN9" i="11"/>
  <c r="CN12" i="11"/>
  <c r="CN5" i="11"/>
  <c r="AN180" i="6" s="1"/>
  <c r="CN16" i="11"/>
  <c r="CN15" i="11"/>
  <c r="CN8" i="11"/>
  <c r="CM14" i="11"/>
  <c r="CP14" i="11" s="1"/>
  <c r="E22" i="12" s="1"/>
  <c r="CM6" i="11"/>
  <c r="CN10" i="11"/>
  <c r="CP10" i="11" s="1"/>
  <c r="E18" i="12" s="1"/>
  <c r="CM16" i="11"/>
  <c r="CM8" i="11"/>
  <c r="CN13" i="11"/>
  <c r="AN181" i="6" s="1"/>
  <c r="CM12" i="11"/>
  <c r="CN17" i="11"/>
  <c r="CN11" i="11"/>
  <c r="CP11" i="11" s="1"/>
  <c r="E19" i="12" s="1"/>
  <c r="CM15" i="11"/>
  <c r="CN6" i="11"/>
  <c r="CN7" i="11"/>
  <c r="CM5" i="11"/>
  <c r="AM180" i="6" s="1"/>
  <c r="CP19" i="11"/>
  <c r="AP182" i="6" s="1"/>
  <c r="S183" i="6" s="1"/>
  <c r="CM13" i="11"/>
  <c r="AM181" i="6" s="1"/>
  <c r="CM9" i="11"/>
  <c r="CM7" i="11"/>
  <c r="E8" i="12"/>
  <c r="AO180" i="6"/>
  <c r="F13" i="12"/>
  <c r="AA180" i="6"/>
  <c r="AA167" i="6" s="1"/>
  <c r="AX13" i="11"/>
  <c r="X181" i="6" s="1"/>
  <c r="AY13" i="11"/>
  <c r="H39" i="9" s="1"/>
  <c r="AY5" i="11"/>
  <c r="Y180" i="6" s="1"/>
  <c r="AX5" i="11"/>
  <c r="G31" i="9" s="1"/>
  <c r="H21" i="12"/>
  <c r="W181" i="6"/>
  <c r="H13" i="12"/>
  <c r="W180" i="6"/>
  <c r="AC167" i="6" s="1"/>
  <c r="BB12" i="11"/>
  <c r="BC12" i="11" s="1"/>
  <c r="I38" i="9" s="1"/>
  <c r="F20" i="12"/>
  <c r="BB11" i="11"/>
  <c r="BF11" i="11" s="1"/>
  <c r="F19" i="12"/>
  <c r="BB10" i="11"/>
  <c r="BC10" i="11" s="1"/>
  <c r="I36" i="9" s="1"/>
  <c r="F18" i="12"/>
  <c r="BB9" i="11"/>
  <c r="BF9" i="11" s="1"/>
  <c r="F17" i="12"/>
  <c r="BB8" i="11"/>
  <c r="BC8" i="11" s="1"/>
  <c r="I34" i="9" s="1"/>
  <c r="F16" i="12"/>
  <c r="BB7" i="11"/>
  <c r="BF7" i="11" s="1"/>
  <c r="F15" i="12"/>
  <c r="BB13" i="11"/>
  <c r="F21" i="12"/>
  <c r="BB6" i="11"/>
  <c r="BF6" i="11" s="1"/>
  <c r="F14" i="12"/>
  <c r="BB16" i="11"/>
  <c r="BC16" i="11" s="1"/>
  <c r="I42" i="9" s="1"/>
  <c r="F24" i="12"/>
  <c r="BB17" i="11"/>
  <c r="BC17" i="11" s="1"/>
  <c r="I43" i="9" s="1"/>
  <c r="F25" i="12"/>
  <c r="BB14" i="11"/>
  <c r="BC14" i="11" s="1"/>
  <c r="I40" i="9" s="1"/>
  <c r="F22" i="12"/>
  <c r="BB15" i="11"/>
  <c r="BF15" i="11" s="1"/>
  <c r="F23" i="12"/>
  <c r="BB5" i="11"/>
  <c r="AB180" i="6" s="1"/>
  <c r="H25" i="9"/>
  <c r="G25" i="9"/>
  <c r="CP16" i="11" l="1"/>
  <c r="E24" i="12" s="1"/>
  <c r="K24" i="12" s="1"/>
  <c r="CP12" i="11"/>
  <c r="E20" i="12" s="1"/>
  <c r="K20" i="12" s="1"/>
  <c r="CP9" i="11"/>
  <c r="E17" i="12" s="1"/>
  <c r="K17" i="12" s="1"/>
  <c r="CP17" i="11"/>
  <c r="E25" i="12" s="1"/>
  <c r="I25" i="12" s="1"/>
  <c r="CP15" i="11"/>
  <c r="E23" i="12" s="1"/>
  <c r="G23" i="12" s="1"/>
  <c r="CP7" i="11"/>
  <c r="E15" i="12" s="1"/>
  <c r="K15" i="12" s="1"/>
  <c r="CP8" i="11"/>
  <c r="E16" i="12" s="1"/>
  <c r="K16" i="12" s="1"/>
  <c r="CP6" i="11"/>
  <c r="E14" i="12" s="1"/>
  <c r="K14" i="12" s="1"/>
  <c r="AF168" i="6"/>
  <c r="CP5" i="11"/>
  <c r="E13" i="12" s="1"/>
  <c r="K13" i="12" s="1"/>
  <c r="CP13" i="11"/>
  <c r="E21" i="12" s="1"/>
  <c r="G24" i="12"/>
  <c r="I170" i="6"/>
  <c r="J170" i="6"/>
  <c r="I169" i="6"/>
  <c r="J169" i="6"/>
  <c r="J174" i="6"/>
  <c r="J173" i="6"/>
  <c r="J175" i="6"/>
  <c r="J171" i="6"/>
  <c r="I174" i="6"/>
  <c r="J172" i="6"/>
  <c r="I175" i="6"/>
  <c r="I172" i="6"/>
  <c r="I171" i="6"/>
  <c r="I173" i="6"/>
  <c r="L170" i="6"/>
  <c r="K170" i="6"/>
  <c r="K173" i="6"/>
  <c r="L173" i="6"/>
  <c r="K169" i="6"/>
  <c r="L169" i="6"/>
  <c r="K172" i="6"/>
  <c r="L172" i="6"/>
  <c r="K171" i="6"/>
  <c r="L171" i="6"/>
  <c r="L174" i="6"/>
  <c r="K174" i="6"/>
  <c r="K175" i="6"/>
  <c r="L175" i="6"/>
  <c r="BC13" i="11"/>
  <c r="AB181" i="6"/>
  <c r="H31" i="9"/>
  <c r="G22" i="12"/>
  <c r="K19" i="12"/>
  <c r="I19" i="12"/>
  <c r="K18" i="12"/>
  <c r="I18" i="12"/>
  <c r="G18" i="12"/>
  <c r="K22" i="12"/>
  <c r="I22" i="12"/>
  <c r="G19" i="12"/>
  <c r="X180" i="6"/>
  <c r="BC11" i="11"/>
  <c r="I37" i="9" s="1"/>
  <c r="G39" i="9"/>
  <c r="Y181" i="6"/>
  <c r="BF12" i="11"/>
  <c r="E45" i="13" s="1"/>
  <c r="F45" i="13" s="1"/>
  <c r="BC6" i="11"/>
  <c r="I32" i="9" s="1"/>
  <c r="BC15" i="11"/>
  <c r="I41" i="9" s="1"/>
  <c r="BF8" i="11"/>
  <c r="BP8" i="11" s="1"/>
  <c r="BR8" i="11" s="1"/>
  <c r="F28" i="10" s="1"/>
  <c r="BC7" i="11"/>
  <c r="I33" i="9" s="1"/>
  <c r="BC9" i="11"/>
  <c r="I35" i="9" s="1"/>
  <c r="BF17" i="11"/>
  <c r="BP17" i="11" s="1"/>
  <c r="BR17" i="11" s="1"/>
  <c r="BF10" i="11"/>
  <c r="E43" i="13" s="1"/>
  <c r="F43" i="13" s="1"/>
  <c r="BF16" i="11"/>
  <c r="BP16" i="11" s="1"/>
  <c r="BR16" i="11" s="1"/>
  <c r="BF14" i="11"/>
  <c r="E47" i="13" s="1"/>
  <c r="F47" i="13" s="1"/>
  <c r="BF13" i="11"/>
  <c r="E48" i="13"/>
  <c r="F48" i="13" s="1"/>
  <c r="BP15" i="11"/>
  <c r="BR15" i="11" s="1"/>
  <c r="F35" i="10" s="1"/>
  <c r="E44" i="13"/>
  <c r="F44" i="13" s="1"/>
  <c r="BP11" i="11"/>
  <c r="BR11" i="11" s="1"/>
  <c r="F31" i="10" s="1"/>
  <c r="E39" i="13"/>
  <c r="F39" i="13" s="1"/>
  <c r="BP6" i="11"/>
  <c r="BR6" i="11" s="1"/>
  <c r="F26" i="10" s="1"/>
  <c r="E40" i="13"/>
  <c r="F40" i="13" s="1"/>
  <c r="BP7" i="11"/>
  <c r="BR7" i="11" s="1"/>
  <c r="F27" i="10" s="1"/>
  <c r="E42" i="13"/>
  <c r="F42" i="13" s="1"/>
  <c r="BP9" i="11"/>
  <c r="BR9" i="11" s="1"/>
  <c r="F29" i="10" s="1"/>
  <c r="BC5" i="11"/>
  <c r="BF5" i="11"/>
  <c r="I20" i="12" l="1"/>
  <c r="I24" i="12"/>
  <c r="G20" i="12"/>
  <c r="G15" i="12"/>
  <c r="I15" i="12"/>
  <c r="I23" i="12"/>
  <c r="G16" i="12"/>
  <c r="G25" i="12"/>
  <c r="K23" i="12"/>
  <c r="K25" i="12"/>
  <c r="I17" i="12"/>
  <c r="G17" i="12"/>
  <c r="I14" i="12"/>
  <c r="I16" i="12"/>
  <c r="AP180" i="6"/>
  <c r="AF167" i="6" s="1"/>
  <c r="E9" i="12"/>
  <c r="K21" i="12"/>
  <c r="G21" i="12"/>
  <c r="AP181" i="6"/>
  <c r="G14" i="12"/>
  <c r="I13" i="12"/>
  <c r="I21" i="12"/>
  <c r="G13" i="12"/>
  <c r="E46" i="13"/>
  <c r="F46" i="13" s="1"/>
  <c r="I31" i="9"/>
  <c r="AC180" i="6"/>
  <c r="I39" i="9"/>
  <c r="AC181" i="6"/>
  <c r="BP12" i="11"/>
  <c r="BR12" i="11" s="1"/>
  <c r="F32" i="10" s="1"/>
  <c r="E41" i="13"/>
  <c r="F41" i="13" s="1"/>
  <c r="BP13" i="11"/>
  <c r="BP10" i="11"/>
  <c r="BR10" i="11" s="1"/>
  <c r="F30" i="10" s="1"/>
  <c r="BP14" i="11"/>
  <c r="BR14" i="11" s="1"/>
  <c r="F34" i="10" s="1"/>
  <c r="E38" i="13"/>
  <c r="F38" i="13" s="1"/>
  <c r="BP5" i="11"/>
  <c r="V183" i="6" l="1"/>
  <c r="R196" i="6" s="1"/>
  <c r="S196" i="6" s="1"/>
  <c r="S191" i="6" s="1"/>
  <c r="M169" i="6"/>
  <c r="M172" i="6"/>
  <c r="M171" i="6"/>
  <c r="V196" i="6"/>
  <c r="U196" i="6"/>
  <c r="S203" i="6"/>
  <c r="S168" i="6" s="1"/>
  <c r="N174" i="6"/>
  <c r="M174" i="6"/>
  <c r="N168" i="6"/>
  <c r="N171" i="6"/>
  <c r="N172" i="6"/>
  <c r="M175" i="6"/>
  <c r="N175" i="6"/>
  <c r="M173" i="6"/>
  <c r="N169" i="6"/>
  <c r="M168" i="6"/>
  <c r="N170" i="6"/>
  <c r="M170" i="6"/>
  <c r="N173" i="6"/>
  <c r="U169" i="6"/>
  <c r="T169" i="6"/>
  <c r="V168" i="6"/>
  <c r="U168" i="6"/>
  <c r="BR13" i="11"/>
  <c r="BS3" i="11"/>
  <c r="BR5" i="11"/>
  <c r="E14" i="10"/>
  <c r="T168" i="6" l="1"/>
  <c r="S193" i="6"/>
  <c r="S194" i="6"/>
  <c r="S192" i="6"/>
  <c r="F25" i="10"/>
  <c r="F33" i="10"/>
  <c r="BS17" i="11"/>
  <c r="BS10" i="11"/>
  <c r="E30" i="10" s="1"/>
  <c r="BS7" i="11"/>
  <c r="E27" i="10" s="1"/>
  <c r="BS15" i="11"/>
  <c r="E35" i="10" s="1"/>
  <c r="BS16" i="11"/>
  <c r="BS9" i="11"/>
  <c r="E29" i="10" s="1"/>
  <c r="BS12" i="11"/>
  <c r="E32" i="10" s="1"/>
  <c r="BS11" i="11"/>
  <c r="E31" i="10" s="1"/>
  <c r="BS8" i="11"/>
  <c r="E28" i="10" s="1"/>
  <c r="BS6" i="11"/>
  <c r="E26" i="10" s="1"/>
  <c r="BS14" i="11"/>
  <c r="E34" i="10" s="1"/>
  <c r="BS13" i="11"/>
  <c r="BS5" i="11"/>
  <c r="U194" i="6" l="1"/>
  <c r="V175" i="6" s="1"/>
  <c r="W194" i="6"/>
  <c r="V171" i="6" s="1"/>
  <c r="V194" i="6"/>
  <c r="V174" i="6" s="1"/>
  <c r="X194" i="6"/>
  <c r="V172" i="6" s="1"/>
  <c r="X193" i="6"/>
  <c r="U193" i="6"/>
  <c r="V193" i="6"/>
  <c r="T174" i="6" s="1"/>
  <c r="W193" i="6"/>
  <c r="E25" i="10"/>
  <c r="E33" i="10"/>
  <c r="W192" i="6" l="1"/>
  <c r="S171" i="6" s="1"/>
  <c r="T171" i="6"/>
  <c r="U192" i="6"/>
  <c r="S175" i="6" s="1"/>
  <c r="T175" i="6"/>
  <c r="X192" i="6"/>
  <c r="T172" i="6"/>
  <c r="S172" i="6" l="1"/>
  <c r="V192" i="6"/>
  <c r="S174" i="6" s="1"/>
  <c r="T167" i="6" l="1"/>
  <c r="U167" i="6" s="1"/>
  <c r="V167"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Smith, Heather Louise - smihl004</author>
  </authors>
  <commentList>
    <comment ref="C7" authorId="0" shapeId="0" xr:uid="{F37898B6-EDE8-49B0-A060-F35C32B76B15}">
      <text>
        <r>
          <rPr>
            <b/>
            <sz val="9"/>
            <color indexed="81"/>
            <rFont val="Tahoma"/>
            <family val="2"/>
          </rPr>
          <t>Smith, Heather Louise - smihl004:</t>
        </r>
        <r>
          <rPr>
            <sz val="9"/>
            <color indexed="81"/>
            <rFont val="Tahoma"/>
            <family val="2"/>
          </rPr>
          <t xml:space="preserve">
Remember the average household doesn't exist. Some of these are gas homes, solar homes, holiday and empty homes - all of which use less electricity. 
You can adjust the reference house to better suit your state in the next step. 
At the moment, I have developed this calculator by starting with SA data, so the data for other states may not concur with your data.</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tc={2CF7CAEC-9A43-41CA-975D-FF7CCE025FF2}</author>
    <author>tc={0C963521-C949-4315-9567-551415471B3F}</author>
    <author>tc={140F7B23-AF8F-4569-B710-A262B0A71743}</author>
    <author>tc={7B624575-9F5E-4B52-834F-443120F1797B}</author>
    <author>Smith, Heather Louise - smihl004</author>
    <author>tc={EAFEEC67-D020-46D5-98B7-5602D28AD01D}</author>
    <author>tc={37516628-8817-40F7-91AB-30D8983D3762}</author>
  </authors>
  <commentList>
    <comment ref="R3" authorId="0" shapeId="0" xr:uid="{2CF7CAEC-9A43-41CA-975D-FF7CCE025FF2}">
      <text>
        <t>[Threaded comment]
Your version of Excel allows you to read this threaded comment; however, any edits to it will get removed if the file is opened in a newer version of Excel. Learn more: https://go.microsoft.com/fwlink/?linkid=870924
Comment:
    kWh in top 10 hrs are roughly equivalent to operating at 95% of peak load for the full 10 hrs</t>
      </text>
    </comment>
    <comment ref="S3" authorId="1" shapeId="0" xr:uid="{0C963521-C949-4315-9567-551415471B3F}">
      <text>
        <t>[Threaded comment]
Your version of Excel allows you to read this threaded comment; however, any edits to it will get removed if the file is opened in a newer version of Excel. Learn more: https://go.microsoft.com/fwlink/?linkid=870924
Comment:
    kWh in next 90 hrs are roughly equivalent to operating at 80% of peak load for the full 90 hrs</t>
      </text>
    </comment>
    <comment ref="T3" authorId="2" shapeId="0" xr:uid="{140F7B23-AF8F-4569-B710-A262B0A71743}">
      <text>
        <t>[Threaded comment]
Your version of Excel allows you to read this threaded comment; however, any edits to it will get removed if the file is opened in a newer version of Excel. Learn more: https://go.microsoft.com/fwlink/?linkid=870924
Comment:
    kWh in next 400 hrs are roughly equivalent to operating at 65% of peak load for the full 400 hrs. This is the figure most likely to change and grow under a fully electrified scenario</t>
      </text>
    </comment>
    <comment ref="X4" authorId="3" shapeId="0" xr:uid="{7B624575-9F5E-4B52-834F-443120F1797B}">
      <text>
        <t>[Threaded comment]
Your version of Excel allows you to read this threaded comment; however, any edits to it will get removed if the file is opened in a newer version of Excel. Learn more: https://go.microsoft.com/fwlink/?linkid=870924
Comment:
    Look at column L and decide how much you think could be flexed. This will be deducted automatically from column V. I have put 1kWh for each housing type simply to ensure the calculator works smoothly and the reference house result flows through to other house types</t>
      </text>
    </comment>
    <comment ref="C5" authorId="4" shapeId="0" xr:uid="{D75F1095-5FC7-4FAD-853D-99673866C649}">
      <text>
        <r>
          <rPr>
            <b/>
            <sz val="9"/>
            <color indexed="81"/>
            <rFont val="Tahoma"/>
            <family val="2"/>
          </rPr>
          <t>Smith, Heather Louise - smihl004:</t>
        </r>
        <r>
          <rPr>
            <sz val="9"/>
            <color indexed="81"/>
            <rFont val="Tahoma"/>
            <family val="2"/>
          </rPr>
          <t xml:space="preserve">
This reference household drives all your costs. If we multiply the reference household by the number of households in your jurisdiction, three things need to match:
1) the peak demand across the network and into the wholesale market caused by the residential sector. ie co-incident peak demand. I think of the evening peak in extreme weather (very hot or cold) and when the wind isn't blowing as being the most important driver of cost.
2) the total volume of energy sold to households (from the market plus exported rooftop solar) and 
3) the costs extracted from the residential sector. You have provided a figure that calculates this final element in cell F17 of the Calculator sheet.
Remember the average doesn't exist because they would have half a solar panel and half a gas bill - however this is our reference scenario for producing total residential costs.</t>
        </r>
      </text>
    </comment>
    <comment ref="M8" authorId="5" shapeId="0" xr:uid="{EAFEEC67-D020-46D5-98B7-5602D28AD01D}">
      <text>
        <t>[Threaded comment]
Your version of Excel allows you to read this threaded comment; however, any edits to it will get removed if the file is opened in a newer version of Excel. Learn more: https://go.microsoft.com/fwlink/?linkid=870924
Comment:
     Please note that I think my average gas figure is too low. These averages fail to reflect the fact that gas homes tend to be larger than electric homes - but I don't have evidence or data to back up that assertion.</t>
      </text>
    </comment>
    <comment ref="D34" authorId="4" shapeId="0" xr:uid="{15826741-6A1D-4321-B342-C3FC73840E6A}">
      <text>
        <r>
          <rPr>
            <b/>
            <sz val="9"/>
            <color indexed="81"/>
            <rFont val="Tahoma"/>
            <family val="2"/>
          </rPr>
          <t>Smith, Heather Louise - smihl004:</t>
        </r>
        <r>
          <rPr>
            <sz val="9"/>
            <color indexed="81"/>
            <rFont val="Tahoma"/>
            <family val="2"/>
          </rPr>
          <t xml:space="preserve">
It is clear that retailers benefit from local solar if they can onsell it to other customers. They hedge in the market for lower volumes - which saves them money. 
Does it matter that prices in the market are negative during these times? I think not because this is volume that doesn't make it to the market so it doesn't alter hedge prices.
There does not appear to be any thinking in the DMO about how to handle the value (or cheapness) of local solar. 
Many retailers are paying something for local solar which is therefore a transfer to solar households. I have kept this amount in the model so a) we don't forget about it and b) we don't conflate it or average it with wholesale energy market costs.</t>
        </r>
      </text>
    </comment>
    <comment ref="F36" authorId="6" shapeId="0" xr:uid="{37516628-8817-40F7-91AB-30D8983D3762}">
      <text>
        <t>[Threaded comment]
Your version of Excel allows you to read this threaded comment; however, any edits to it will get removed if the file is opened in a newer version of Excel. Learn more: https://go.microsoft.com/fwlink/?linkid=870924
Comment:
    F35 and F36 don't add up because of the inactive households paying fixed costs to retailers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Smith, Heather Louise - smihl004</author>
    <author>tc={32EA26C6-CB98-43B8-8A77-28BC94F281EB}</author>
    <author>tc={7830EA02-231A-49B7-8FFB-C74AD2E47149}</author>
  </authors>
  <commentList>
    <comment ref="D4" authorId="0" shapeId="0" xr:uid="{35EE427E-84DA-4356-B857-C360AE573531}">
      <text>
        <r>
          <rPr>
            <b/>
            <sz val="9"/>
            <color indexed="81"/>
            <rFont val="Tahoma"/>
            <family val="2"/>
          </rPr>
          <t>Smith, Heather Louise - smihl004:</t>
        </r>
        <r>
          <rPr>
            <sz val="9"/>
            <color indexed="81"/>
            <rFont val="Tahoma"/>
            <family val="2"/>
          </rPr>
          <t xml:space="preserve">
This reference household drives all your costs. If we multiply the reference household by the number of households in your jurisdiction, three things need to match:
1) the peak demand across the network and into the wholesale market caused by the residential sector. ie co-incident peak demand. I think of the evening peak in extreme weather (very hot or cold) and when the wind isn't blowing as being the most important driver of cost.
2) the total volume of energy sold to households (from the wholesale market plus exported rooftop solar) and 
3) the costs extracted from the residential sector. You have provided a figure that calculates this final element in step 1 - Choose State.
Remember the average doesn't exist because they would have half a solar panel and half a gas bill - however this is our reference scenario for producing total residential costs.</t>
        </r>
      </text>
    </comment>
    <comment ref="E13" authorId="1" shapeId="0" xr:uid="{32EA26C6-CB98-43B8-8A77-28BC94F281EB}">
      <text>
        <t>[Threaded comment]
Your version of Excel allows you to read this threaded comment; however, any edits to it will get removed if the file is opened in a newer version of Excel. Learn more: https://go.microsoft.com/fwlink/?linkid=870924
Comment:
    1800kWh is my average consumption of electric hot water and is expected to be flexible</t>
      </text>
    </comment>
    <comment ref="I13" authorId="2" shapeId="0" xr:uid="{7830EA02-231A-49B7-8FFB-C74AD2E47149}">
      <text>
        <t>[Threaded comment]
Your version of Excel allows you to read this threaded comment; however, any edits to it will get removed if the file is opened in a newer version of Excel. Learn more: https://go.microsoft.com/fwlink/?linkid=870924
Comment:
    1800kWh is my average consumption of electric hot water and is expected to be flexible</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Smith, Heather Louise - smihl004</author>
  </authors>
  <commentList>
    <comment ref="D4" authorId="0" shapeId="0" xr:uid="{9D14968C-AB48-4C98-8A1A-0AB8CDDBE983}">
      <text>
        <r>
          <rPr>
            <b/>
            <sz val="9"/>
            <color indexed="81"/>
            <rFont val="Tahoma"/>
            <family val="2"/>
          </rPr>
          <t>Smith, Heather Louise - smihl004:</t>
        </r>
        <r>
          <rPr>
            <sz val="9"/>
            <color indexed="81"/>
            <rFont val="Tahoma"/>
            <family val="2"/>
          </rPr>
          <t xml:space="preserve">
In the next step 4. Calculator, you will choose how these charges are allocated to different parts of the load profile in order to create tariffs.
I have deliberately collated all the costs for the most expensive times of the year - peak dispatchable load. You will be able to choose whether to make these a sharp peaky price signal or something more modest. Regardless, the cost will be recovered across the periods you choose.
For now, the purpose of this sheet is to ensure you are comfortable with the cost-reflective breakdowns that the data and some policy settings suggest.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Smith, Heather Louise - smihl004</author>
    <author>tc={B72E1AA8-B6EB-4F8F-82AB-8AED4CBC15A0}</author>
  </authors>
  <commentList>
    <comment ref="D4" authorId="0" shapeId="0" xr:uid="{3D37C7CD-CEA5-4E1D-AF43-55229D5AD50B}">
      <text>
        <r>
          <rPr>
            <b/>
            <sz val="9"/>
            <color indexed="81"/>
            <rFont val="Tahoma"/>
            <family val="2"/>
          </rPr>
          <t>Smith, Heather Louise - smihl004:</t>
        </r>
        <r>
          <rPr>
            <sz val="9"/>
            <color indexed="81"/>
            <rFont val="Tahoma"/>
            <family val="2"/>
          </rPr>
          <t xml:space="preserve">
In the next step 5. Easing in change, you can explore how to avoid bill shock. Then in 6. Transition Together you can experiment with the energy sector taking on the role of delivering public goods and equity. This allows some adjustment to take the worst of regressive charges (poorest pay most) to something more progressive. 
Focusing on this step: the most important idea is the structure of tariff you prefer.
How would you like your demand and peak charges allocated? There are plenty of combinations to experiment with.
Do you want a low price signal to encourage uptake of renewables?
Do you hate or love per customer costs? - plenty of chances to spread these differently.
Finally, residual costs can be allocated in ways to sharpen or blunt other price signals.
At the end of this sheet I explore outcomes for different types of home (since the reference home never exists)
You can put your own home types into the "Different Homes" Tab to compare particular outcomes</t>
        </r>
      </text>
    </comment>
    <comment ref="D29" authorId="1" shapeId="0" xr:uid="{B72E1AA8-B6EB-4F8F-82AB-8AED4CBC15A0}">
      <text>
        <t>[Threaded comment]
Your version of Excel allows you to read this threaded comment; however, any edits to it will get removed if the file is opened in a newer version of Excel. Learn more: https://go.microsoft.com/fwlink/?linkid=870924
Comment:
    You can put in two of your own Households in “Different homes” tab</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Smith, Heather Louise - smihl004</author>
  </authors>
  <commentList>
    <comment ref="D3" authorId="0" shapeId="0" xr:uid="{4FC1CAEA-9692-4841-80AE-592F5F9B0DC9}">
      <text>
        <r>
          <rPr>
            <b/>
            <sz val="9"/>
            <color indexed="81"/>
            <rFont val="Tahoma"/>
            <family val="2"/>
          </rPr>
          <t>Smith, Heather Louise - smihl004:</t>
        </r>
        <r>
          <rPr>
            <sz val="9"/>
            <color indexed="81"/>
            <rFont val="Tahoma"/>
            <family val="2"/>
          </rPr>
          <t xml:space="preserve">
Thus far, this calculator has encouraged you to turn the cost of building new generation and networks into a spiky co-incident peak price signal for consumers, thereby encouraging flexible load and behaviour change for the key hours of the year that really count.
This sheet deals with the issue of Bill shock from high prices coinciding with high consumption. How do we protect a consumer against really sharp high prices and the lack of agency to understand and/or respond to sharp peak price signals?
We also need to be aware that the reference house has guided our pricing so far but the reference house doesn't exist. That means when you change something, it is likely half of households will have costs that go up, sometimes by a significant amount.
In the range of home types explored, I have still talked about average homes - solar gas, electric, big, small etc. That means we can't know how stark the outcomes will be for the home with the highest peaks compared to those with the lowest.
To be clear, I expect co-incident peak load to increasingly occur only during very cold winter evenings and very hot summer evenings when the wind isn't blowing. And for 10-100 hours per year to be adequate to reduce peak load by around 10%, saving us millions.
Our data has averages for these peak loads of a modest 1-2kW per home. The most I have suggested in the different home types is 5kW. But we know that the network businesses (DNSPs) are building infrastructure to serve 7kW on average in some new suburbs. These people will be in for a bill shock!
The standard approaches by regulators and energy businesses has been to make new tariffs voluntary and to phase them in slowly. This approach can take decades because there is 5 years between each major reset. I consider some slowness inevitable but the purpose of this sheet is to explore ways we could implement new tariffs without leaving consumers worse off in any significant way.
These ideas can only be theoretical. We don't understand the range of homes and the quantum of costs that would need to flow from winners to losers. The purpose is to propose and price a mechanism so we can start the conversation.
Please contact me if you have better  ideas for achieving the same outcome.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Smith, Heather Louise - smihl004</author>
  </authors>
  <commentList>
    <comment ref="D3" authorId="0" shapeId="0" xr:uid="{358CA88A-AC64-40B0-B233-E2729E727734}">
      <text>
        <r>
          <rPr>
            <b/>
            <sz val="9"/>
            <color indexed="81"/>
            <rFont val="Tahoma"/>
            <family val="2"/>
          </rPr>
          <t>Smith, Heather Louise - smihl004:</t>
        </r>
        <r>
          <rPr>
            <sz val="9"/>
            <color indexed="81"/>
            <rFont val="Tahoma"/>
            <family val="2"/>
          </rPr>
          <t xml:space="preserve">
In this step you can experiment with the energy sector taking on the role of delivering public goods and equity. This allows some adjustment to take the worst of regressive charges (poorest pay most) to something more progressive (richest pay a greater share).
Traditionally the sector has been regulated to focus on economic efficiency. Alongside that, however is a suite of customer protections and additional programs to manage disconnections and incomplete repayments from those who struggle to pay their bills.
Customers on concessions (~10%?) also recieve an amount (~$300/yr?) from state governments to reduce their bills.
This sheet asks:
How do we ensure that low income consumers (~10%?) do not bear more of the burden than richer consumers?
How do we support those facing dire choices through inability to pay their bills (~1%)?
The ambition is to ensure we can all make the transition to efficiency, electrification and renewable energy without widening the divide between the haves and have-nots.
This sheet will help you think through the costs and price signals that should definitely passed onto every consumer and the choices you could make to allocate the rest in ways that will promote equity.
I propose a proportioning mechanism for low income consumers. This is based on the unequal effects when low income households spend 6-7% of their income on energy compared to around 1.5% for high income households. You can choose the allocation ratio but using the above statement as a guide, I have suggested 25%.
I have argued that households facing disconnection and debt should have all discretionary costs removed with only the bare price signals remaining.</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Smith, Heather Louise - smihl004</author>
    <author>tc={C2C96315-4BFC-4861-9424-2B6082867EE8}</author>
  </authors>
  <commentList>
    <comment ref="D11" authorId="0" shapeId="0" xr:uid="{F273C807-3522-40A9-8D8E-D7832A5D499D}">
      <text>
        <r>
          <rPr>
            <b/>
            <sz val="9"/>
            <color indexed="81"/>
            <rFont val="Tahoma"/>
            <family val="2"/>
          </rPr>
          <t>Smith, Heather Louise - smihl004:</t>
        </r>
        <r>
          <rPr>
            <sz val="9"/>
            <color indexed="81"/>
            <rFont val="Tahoma"/>
            <family val="2"/>
          </rPr>
          <t xml:space="preserve">
Paying too much or too little is a judgement.
It needs to be based in some idea of what "paying the right amount" is.
As we've explored in Step 5 and Step 6, there is nothing wrong with some cross subsidies if they help us all get to where we need to go.
We could also take the view that cross-subsidies should be minimised or organised via taxes - the official way to take more money from those who can afford it.
The electricity industry exploits:
a) low levels of awareness or attention - information asymmetry
b) customer loyalty
c) stickiness or the barrier of making the effort to change
and charges consumers as much as possible, rather than the market rate in many cases. 
This builds in a cross subsidy between customers who are willing to switch and are careful to always find/negotiate the best deal and those who don't. This alone can introduce 20% differences for the same type of household.
Our tolerance for cross subsidies is supported by narratives like:
"they use less electricity so they should pay less"
"they are connected to the grid, so they should pay for using it"
I hope you feel that there is no right answer between per kWh, per kW or per customer charging regimes, only differences in values.
We can't avoid some level of cross subsidies because our tariffs need to be simple enough to operate and they need to be applied to a wide range of household types.
In this Sheet you can look more closely at the results we have created.</t>
        </r>
      </text>
    </comment>
    <comment ref="E11" authorId="1" shapeId="0" xr:uid="{C2C96315-4BFC-4861-9424-2B6082867EE8}">
      <text>
        <t>[Threaded comment]
Your version of Excel allows you to read this threaded comment; however, any edits to it will get removed if the file is opened in a newer version of Excel. Learn more: https://go.microsoft.com/fwlink/?linkid=870924
Comment:
    Based on my best efforts at cost-reflective approaches</t>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tc={0FD21D1A-6943-428E-8192-9BE16022BE68}</author>
    <author>tc={38D34A13-BD6E-42DE-B4BB-CD55222B03D7}</author>
    <author>tc={6A687D11-4073-48F0-8DF5-19D04D491260}</author>
    <author>tc={8F4E09EE-7E55-4E16-BE02-18B5983E1CB5}</author>
    <author>tc={A9E9D98E-7A8F-42DC-88BC-6178F18D0159}</author>
    <author>tc={39625635-27A8-452B-893A-FEAE176A8D79}</author>
    <author>tc={0BF7220C-8693-42AA-8211-0D984D3F9E4E}</author>
    <author>tc={8C280604-7C6A-4AB1-88A7-0E7AF9CC1C6D}</author>
    <author>tc={9E79428F-D2F9-4B8C-B6B7-34D751120C6D}</author>
    <author>tc={8379E7C9-CE3E-47EC-9B93-22B5D7A1C7E2}</author>
    <author>tc={F904C94A-1D2E-4E17-B222-CF7FB41BD853}</author>
    <author>tc={307CC063-B6FA-4D1B-B136-6372B82A23D8}</author>
    <author>tc={D18D6D15-FCC4-45C7-925A-14075C74F0A1}</author>
    <author>tc={6F592274-76AA-4C38-9F9F-A3B3EE1C9BF7}</author>
    <author>tc={0D88A019-4C81-40A8-8FEE-1B1D70DE6F79}</author>
    <author>tc={E5D029E2-5B68-4337-BA0A-AC0C657EA5DD}</author>
    <author>tc={6E9396DB-768D-4F53-BB32-08C04E251E7A}</author>
    <author>tc={C0A1E595-B8C0-45CF-9B5F-E013574C8FDA}</author>
    <author>tc={02D4B149-4CBF-4DEA-B4A3-BEA1983A237C}</author>
    <author>tc={8C206AC6-491D-4F60-865A-F7A02C2C1590}</author>
    <author>tc={781B4AA5-96FC-48FC-87D0-89AE30C00AA0}</author>
    <author>tc={43AE69A5-BC2C-4FA4-934C-87EFE90AFD64}</author>
  </authors>
  <commentList>
    <comment ref="X1" authorId="0" shapeId="0" xr:uid="{0FD21D1A-6943-428E-8192-9BE16022BE68}">
      <text>
        <t>[Threaded comment]
Your version of Excel allows you to read this threaded comment; however, any edits to it will get removed if the file is opened in a newer version of Excel. Learn more: https://go.microsoft.com/fwlink/?linkid=870924
Comment:
    I know there might be some overlap between the AEMC renewable amount and the Jurisdictional schemes captured in the DNSP data but I have added both in because the main costs for AEMC are RET costs and they have under counted the JO schemes</t>
      </text>
    </comment>
    <comment ref="AH17" authorId="1" shapeId="0" xr:uid="{38D34A13-BD6E-42DE-B4BB-CD55222B03D7}">
      <text>
        <t>[Threaded comment]
Your version of Excel allows you to read this threaded comment; however, any edits to it will get removed if the file is opened in a newer version of Excel. Learn more: https://go.microsoft.com/fwlink/?linkid=870924
Comment:
    Estimated to be similar to NT and Qld respectively</t>
      </text>
    </comment>
    <comment ref="E18" authorId="2" shapeId="0" xr:uid="{6A687D11-4073-48F0-8DF5-19D04D491260}">
      <text>
        <t>[Threaded comment]
Your version of Excel allows you to read this threaded comment; however, any edits to it will get removed if the file is opened in a newer version of Excel. Learn more: https://go.microsoft.com/fwlink/?linkid=870924
Comment:
    https://www.erawa.com.au/cproot/24864/2/western-power-second-annual-progress-report.PDF?utm_source=chatgpt.com</t>
      </text>
    </comment>
    <comment ref="O29" authorId="3" shapeId="0" xr:uid="{8F4E09EE-7E55-4E16-BE02-18B5983E1CB5}">
      <text>
        <t>[Threaded comment]
Your version of Excel allows you to read this threaded comment; however, any edits to it will get removed if the file is opened in a newer version of Excel. Learn more: https://go.microsoft.com/fwlink/?linkid=870924
Comment:
    I proportioned this on a per customer basis to allay fears that self-sufficient communities won’t contribute to the grid</t>
      </text>
    </comment>
    <comment ref="U29" authorId="4" shapeId="0" xr:uid="{A9E9D98E-7A8F-42DC-88BC-6178F18D0159}">
      <text>
        <t>[Threaded comment]
Your version of Excel allows you to read this threaded comment; however, any edits to it will get removed if the file is opened in a newer version of Excel. Learn more: https://go.microsoft.com/fwlink/?linkid=870924
Comment:
    I apportioned this by kWh ie by volume</t>
      </text>
    </comment>
    <comment ref="V29" authorId="5" shapeId="0" xr:uid="{39625635-27A8-452B-893A-FEAE176A8D79}">
      <text>
        <t>[Threaded comment]
Your version of Excel allows you to read this threaded comment; however, any edits to it will get removed if the file is opened in a newer version of Excel. Learn more: https://go.microsoft.com/fwlink/?linkid=870924
Comment:
    I apportioned this by kWh ie by volume</t>
      </text>
    </comment>
    <comment ref="W29" authorId="6" shapeId="0" xr:uid="{0BF7220C-8693-42AA-8211-0D984D3F9E4E}">
      <text>
        <t>[Threaded comment]
Your version of Excel allows you to read this threaded comment; however, any edits to it will get removed if the file is opened in a newer version of Excel. Learn more: https://go.microsoft.com/fwlink/?linkid=870924
Comment:
    I apportioned this per customer</t>
      </text>
    </comment>
    <comment ref="AH32" authorId="7" shapeId="0" xr:uid="{8C280604-7C6A-4AB1-88A7-0E7AF9CC1C6D}">
      <text>
        <t>[Threaded comment]
Your version of Excel allows you to read this threaded comment; however, any edits to it will get removed if the file is opened in a newer version of Excel. Learn more: https://go.microsoft.com/fwlink/?linkid=870924
Comment:
    I based these on Ausgrid numbers for peak overall demand. 1.025 was consistently the ratio between MW and MVA. However at the local level 1.1 would be better. I wanted a factor that would reflect the impact all the way from local to new generation.</t>
      </text>
    </comment>
    <comment ref="G38" authorId="8" shapeId="0" xr:uid="{9E79428F-D2F9-4B8C-B6B7-34D751120C6D}">
      <text>
        <t xml:space="preserve">[Threaded comment]
Your version of Excel allows you to read this threaded comment; however, any edits to it will get removed if the file is opened in a newer version of Excel. Learn more: https://go.microsoft.com/fwlink/?linkid=870924
Comment:
    It makes sense for something to be contributed directly toward renewables and these figures will also count in non-NEM states of NT and WA </t>
      </text>
    </comment>
    <comment ref="D43" authorId="9" shapeId="0" xr:uid="{8379E7C9-CE3E-47EC-9B93-22B5D7A1C7E2}">
      <text>
        <t>[Threaded comment]
Your version of Excel allows you to read this threaded comment; however, any edits to it will get removed if the file is opened in a newer version of Excel. Learn more: https://go.microsoft.com/fwlink/?linkid=870924
Comment:
    I have taken out $30/customer for Bad debt -allocation of this is a choice we could revisit, so it belongs in residual. The DMO makes everything per customer and allows a retail margin of 6% on everything so I have included a per kWh charge to reflect the fact that trading on the wholesale market is managed on a per kWh basis and will come with some costs</t>
      </text>
    </comment>
    <comment ref="H44" authorId="10" shapeId="0" xr:uid="{F904C94A-1D2E-4E17-B222-CF7FB41BD853}">
      <text>
        <t>[Threaded comment]
Your version of Excel allows you to read this threaded comment; however, any edits to it will get removed if the file is opened in a newer version of Excel. Learn more: https://go.microsoft.com/fwlink/?linkid=870924
Comment:
    This is a shortcut. $10/MWH is high for the RET but I simply subtracted it to get the remainder</t>
      </text>
    </comment>
    <comment ref="E124" authorId="11" shapeId="0" xr:uid="{307CC063-B6FA-4D1B-B136-6372B82A23D8}">
      <text>
        <t>[Threaded comment]
Your version of Excel allows you to read this threaded comment; however, any edits to it will get removed if the file is opened in a newer version of Excel. Learn more: https://go.microsoft.com/fwlink/?linkid=870924
Comment:
    My choice is for all residual costs to be allocated on a volume (per MWh) basis because this is most closely aligned with the value delivered - we benefit when we use energy</t>
      </text>
    </comment>
    <comment ref="B131" authorId="12" shapeId="0" xr:uid="{D18D6D15-FCC4-45C7-925A-14075C74F0A1}">
      <text>
        <t>[Threaded comment]
Your version of Excel allows you to read this threaded comment; however, any edits to it will get removed if the file is opened in a newer version of Excel. Learn more: https://go.microsoft.com/fwlink/?linkid=870924
Comment:
    My preferred option is an energy charge</t>
      </text>
    </comment>
    <comment ref="B138" authorId="13" shapeId="0" xr:uid="{6F592274-76AA-4C38-9F9F-A3B3EE1C9BF7}">
      <text>
        <t>[Threaded comment]
Your version of Excel allows you to read this threaded comment; however, any edits to it will get removed if the file is opened in a newer version of Excel. Learn more: https://go.microsoft.com/fwlink/?linkid=870924
Comment:
    My preferred option is the top 100 hours - sharp but not impossibly sharp. In different homes Tab, I have fixed this too</t>
      </text>
    </comment>
    <comment ref="M143" authorId="14" shapeId="0" xr:uid="{0D88A019-4C81-40A8-8FEE-1B1D70DE6F79}">
      <text>
        <t>[Threaded comment]
Your version of Excel allows you to read this threaded comment; however, any edits to it will get removed if the file is opened in a newer version of Excel. Learn more: https://go.microsoft.com/fwlink/?linkid=870924
Comment:
    Added in the carbon price</t>
      </text>
    </comment>
    <comment ref="D144" authorId="15" shapeId="0" xr:uid="{E5D029E2-5B68-4337-BA0A-AC0C657EA5DD}">
      <text>
        <t>[Threaded comment]
Your version of Excel allows you to read this threaded comment; however, any edits to it will get removed if the file is opened in a newer version of Excel. Learn more: https://go.microsoft.com/fwlink/?linkid=870924
Comment:
    I’ve fixed these as false - I definitely want to see solar sponge and load flex pricing</t>
      </text>
    </comment>
    <comment ref="M144" authorId="16" shapeId="0" xr:uid="{6E9396DB-768D-4F53-BB32-08C04E251E7A}">
      <text>
        <t>[Threaded comment]
Your version of Excel allows you to read this threaded comment; however, any edits to it will get removed if the file is opened in a newer version of Excel. Learn more: https://go.microsoft.com/fwlink/?linkid=870924
Comment:
    Added in the carbon price</t>
      </text>
    </comment>
    <comment ref="E146" authorId="17" shapeId="0" xr:uid="{C0A1E595-B8C0-45CF-9B5F-E013574C8FDA}">
      <text>
        <t>[Threaded comment]
Your version of Excel allows you to read this threaded comment; however, any edits to it will get removed if the file is opened in a newer version of Excel. Learn more: https://go.microsoft.com/fwlink/?linkid=870924
Comment:
    I’ve fixed this to be 100%</t>
      </text>
    </comment>
    <comment ref="B153" authorId="18" shapeId="0" xr:uid="{02D4B149-4CBF-4DEA-B4A3-BEA1983A237C}">
      <text>
        <t>[Threaded comment]
Your version of Excel allows you to read this threaded comment; however, any edits to it will get removed if the file is opened in a newer version of Excel. Learn more: https://go.microsoft.com/fwlink/?linkid=870924
Comment:
    I think lumping into fossil fuels only has the benefit of not making peak costs any sharper, but still protecting renewables as low costs</t>
      </text>
    </comment>
    <comment ref="F165" authorId="19" shapeId="0" xr:uid="{8C206AC6-491D-4F60-865A-F7A02C2C1590}">
      <text>
        <t>[Threaded comment]
Your version of Excel allows you to read this threaded comment; however, any edits to it will get removed if the file is opened in a newer version of Excel. Learn more: https://go.microsoft.com/fwlink/?linkid=870924
Comment:
    I’ve just copied this over from my old calculator so it does not take into account any changes you may have made on peak loads
Reply:
    For a start we would need to agree differences in the various load profiles for different homes across peak, baseload and surplus renewables
Reply:
    37% at peak times is a reflection of the top 100-200 hrs approximately, so I haven’t adjusted it for 10 hours (maybe 20%?) or 500 hours (maybe 45%)</t>
      </text>
    </comment>
    <comment ref="C166" authorId="20" shapeId="0" xr:uid="{781B4AA5-96FC-48FC-87D0-89AE30C00AA0}">
      <text>
        <t>[Threaded comment]
Your version of Excel allows you to read this threaded comment; however, any edits to it will get removed if the file is opened in a newer version of Excel. Learn more: https://go.microsoft.com/fwlink/?linkid=870924
Comment:
    My estimates</t>
      </text>
    </comment>
    <comment ref="N168" authorId="21" shapeId="0" xr:uid="{43AE69A5-BC2C-4FA4-934C-87EFE90AFD64}">
      <text>
        <t>[Threaded comment]
Your version of Excel allows you to read this threaded comment; however, any edits to it will get removed if the file is opened in a newer version of Excel. Learn more: https://go.microsoft.com/fwlink/?linkid=870924
Comment:
    I’ve added the carbon price into this price stack, although in earlier stacks it is part of wholesale price. The best thing would be to make a new line</t>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tc={90580450-6C17-4BA9-91F2-EAF6AB8F3C38}</author>
    <author>tc={F3B91256-75A3-4721-8D13-D720386A34EF}</author>
    <author>tc={14956777-98F7-41AA-B93A-A04A3448614C}</author>
    <author>tc={B57B2328-7863-4A86-88DC-FBC055DDBA8B}</author>
    <author>tc={4C8D4CBD-7495-4C98-9EB7-C63DFB2692C7}</author>
    <author>tc={D19420AB-0325-4AC2-871C-C4BE439F5BA8}</author>
    <author>tc={1B7BBCB2-0046-4AD5-B240-39196A09681B}</author>
  </authors>
  <commentList>
    <comment ref="U3" authorId="0" shapeId="0" xr:uid="{90580450-6C17-4BA9-91F2-EAF6AB8F3C38}">
      <text>
        <t>[Threaded comment]
Your version of Excel allows you to read this threaded comment; however, any edits to it will get removed if the file is opened in a newer version of Excel. Learn more: https://go.microsoft.com/fwlink/?linkid=870924
Comment:
    kWh in top 10 hrs are roughly equivalent to operating at 95% of peak load for the full 10 hrs</t>
      </text>
    </comment>
    <comment ref="V3" authorId="1" shapeId="0" xr:uid="{F3B91256-75A3-4721-8D13-D720386A34EF}">
      <text>
        <t>[Threaded comment]
Your version of Excel allows you to read this threaded comment; however, any edits to it will get removed if the file is opened in a newer version of Excel. Learn more: https://go.microsoft.com/fwlink/?linkid=870924
Comment:
    kWh in next 90 hrs are roughly equivalent to operating at 80% of peak load for the full 90 hrs</t>
      </text>
    </comment>
    <comment ref="W3" authorId="2" shapeId="0" xr:uid="{14956777-98F7-41AA-B93A-A04A3448614C}">
      <text>
        <t>[Threaded comment]
Your version of Excel allows you to read this threaded comment; however, any edits to it will get removed if the file is opened in a newer version of Excel. Learn more: https://go.microsoft.com/fwlink/?linkid=870924
Comment:
    kWh in next 400 hrs are roughly equivalent to operating at 65% of peak load for the full 400 hrs. This is the figure most likely to change and grow under a fully electrified scenario</t>
      </text>
    </comment>
    <comment ref="AA4" authorId="3" shapeId="0" xr:uid="{B57B2328-7863-4A86-88DC-FBC055DDBA8B}">
      <text>
        <t>[Threaded comment]
Your version of Excel allows you to read this threaded comment; however, any edits to it will get removed if the file is opened in a newer version of Excel. Learn more: https://go.microsoft.com/fwlink/?linkid=870924
Comment:
    Look at column L and decide how much you think could be flexed. This will be deducted automatically from column V. I have put 1kWh for each housing type simply to ensure the calculator works smoothly and the reference house result flows through to other house types</t>
      </text>
    </comment>
    <comment ref="L8" authorId="4" shapeId="0" xr:uid="{4C8D4CBD-7495-4C98-9EB7-C63DFB2692C7}">
      <text>
        <t>[Threaded comment]
Your version of Excel allows you to read this threaded comment; however, any edits to it will get removed if the file is opened in a newer version of Excel. Learn more: https://go.microsoft.com/fwlink/?linkid=870924
Comment:
    Need to take into account gas homes with solar - for ease I have assumed solar homes are evenly spread across gas homes at the same ratio as the state average although there is more of a chance that electric homes will go solar first (better savings). I have also assumed that gas homes have the same daytime consumption although it is likely to be less</t>
      </text>
    </comment>
    <comment ref="P8" authorId="5" shapeId="0" xr:uid="{D19420AB-0325-4AC2-871C-C4BE439F5BA8}">
      <text>
        <t>[Threaded comment]
Your version of Excel allows you to read this threaded comment; however, any edits to it will get removed if the file is opened in a newer version of Excel. Learn more: https://go.microsoft.com/fwlink/?linkid=870924
Comment:
     Please note that I think my average gas figure is too low. These averages fail to reflect the fact that gas homes tend to be larger than electric homes - but I don't have evidence or data to back up that assertion.</t>
      </text>
    </comment>
    <comment ref="CL19" authorId="6" shapeId="0" xr:uid="{1B7BBCB2-0046-4AD5-B240-39196A09681B}">
      <text>
        <t>[Threaded comment]
Your version of Excel allows you to read this threaded comment; however, any edits to it will get removed if the file is opened in a newer version of Excel. Learn more: https://go.microsoft.com/fwlink/?linkid=870924
Comment:
    I decided that average residuals would rise but electrified homes would become the norm so the residual is spread over more kWh - this is halfway between the old residual and the prorata amount - a compromise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<sst xmlns="http://schemas.openxmlformats.org/spreadsheetml/2006/main" count="1342" uniqueCount="708">
  <si>
    <t>Please enjoy using this tariff generator for household buying of electricity within the NEM</t>
  </si>
  <si>
    <t>This spreadsheet has been created by Heather Smith</t>
  </si>
  <si>
    <t>You can find out more about my work here</t>
  </si>
  <si>
    <t>www.changingweather.com.au</t>
  </si>
  <si>
    <t>This spreadsheet is based on my Thesis work so it draws from many sources. You can read more about my explorations of tariffs and pricing here -&gt;</t>
  </si>
  <si>
    <t>Number crunching for article on tariffs</t>
  </si>
  <si>
    <t>Boiteux pricing</t>
  </si>
  <si>
    <t>The bottom up work started with the Heyfield microgrid project</t>
  </si>
  <si>
    <t>https://www.uts.edu.au/isf/explore-research/projects/mytown-microgrid-community-model-sustainable-energy</t>
  </si>
  <si>
    <t>The Long Run Marginal Costs (LRMC) published by each network (DNSP) provide a sense check and I have dived deep into SA Power Networks recent tariff structure statement</t>
  </si>
  <si>
    <t>I rely on the Residential Baseline Survey for an understanding of the possible profiles associated with different types of homes</t>
  </si>
  <si>
    <t>https://www.energyrating.gov.au/industry-information/publications/report-2021-residential-baseline-study-australia-and-new-zealand-2000-2040</t>
  </si>
  <si>
    <t>The AER Default Offer (DMO) is a sense check from the top down</t>
  </si>
  <si>
    <t>https://www.aer.gov.au/industry/registers/resources/reviews/default-market-offer-prices-2024-25</t>
  </si>
  <si>
    <t>Open NEM (now Open Electricity) was used for state emissions averages - adjusted for rooftop solar to fit the grid focused role of this model</t>
  </si>
  <si>
    <t>https://opennem.iberdrola.com.au/energy/nem/?range=1y&amp;interval=1w&amp;view=discrete-time</t>
  </si>
  <si>
    <t>The Vinnies tariff tracker was used to compare the target cost in each state. But I also offer the AEMC residential price trends data if you want to stay lean.</t>
  </si>
  <si>
    <t>https://www.vinnies.org.au/advocacy/energy/tariff-tracking</t>
  </si>
  <si>
    <t>Terms of Use</t>
  </si>
  <si>
    <t>Creative Commons Licence: Attribution-Non Commercial-Share Alike, CC-BY-NC-SA</t>
  </si>
  <si>
    <t>CC BY-NC-SA: This license allows reusers to distribute, remix, adapt, and build upon the material in any medium or format for noncommercial purposes only, and only so long as attribution is given to the creator. If you remix, adapt, or build upon the material, you must license the modified material under identical terms. </t>
  </si>
  <si>
    <t xml:space="preserve">Please acknowledge the source. </t>
  </si>
  <si>
    <t>If you consider it useful, please consider a donation to the Coalition for Community Energy</t>
  </si>
  <si>
    <t>www.c4ce.net.au</t>
  </si>
  <si>
    <t>or to CORENA</t>
  </si>
  <si>
    <t>www.corenafund.org.au</t>
  </si>
  <si>
    <t>Academic style citation:</t>
  </si>
  <si>
    <r>
      <t xml:space="preserve">Smith, H. (2024) </t>
    </r>
    <r>
      <rPr>
        <i/>
        <sz val="11"/>
        <color theme="1"/>
        <rFont val="Sora"/>
      </rPr>
      <t>Reimagining tariffs.xlsx</t>
    </r>
    <r>
      <rPr>
        <sz val="11"/>
        <color theme="1"/>
        <rFont val="Sora"/>
      </rPr>
      <t xml:space="preserve"> Available from: </t>
    </r>
  </si>
  <si>
    <t>https://www.changingweather.com.au/calculators</t>
  </si>
  <si>
    <t xml:space="preserve">Please publish and share any improvements you make - I'd love if you can let me know about them (or indeed about any mistakes you find) heather[at] changingweather.com.au </t>
  </si>
  <si>
    <t>Disclaimer and context</t>
  </si>
  <si>
    <t>There are many ways this information can give you a skewed assessment of what is going on so please be alert to them.</t>
  </si>
  <si>
    <t xml:space="preserve">I'd like to think there are two novel components to this tariff model. </t>
  </si>
  <si>
    <t xml:space="preserve">1) Giving the modeler free rein over the allocation of residual costs so that we can truly create price signals where we need them. </t>
  </si>
  <si>
    <t>2) an insurance component to introduce the idea that households can benefit from the upside of cheaper tariffs but insure against the downside of tariff surprises and bill shock.</t>
  </si>
  <si>
    <t>MAIN THESIS</t>
  </si>
  <si>
    <t>There are good ways to allocate operating costs, particularly fuel, to the users. The regulators use the concept of avoidable costs and posit this as the minimum you should charge any consumer. I have not used the published minimum costs for networks in this calculator.</t>
  </si>
  <si>
    <t>Allocation of capital costs is more of a choice. Regulators use stand alone costs (the amount it would cost a consumer to not use the grid) to provide a maximum value and ensure that no single consumer is charged too much. This figure demonstrates the collective value we all gain.</t>
  </si>
  <si>
    <t>Our wholesale market follows Boituex where cheap (fuel cost basis) generation slowly recovers its capital costs as the spot price rises, working its way up the merit stack. At the peak load for the year (or decade) we try to recover all the capital costs via high prices.</t>
  </si>
  <si>
    <t>Our network costs (mostly capital!) are often allocated across all generation although attempts to use Long Run Maginal Costs (LRMC) and peak demand tariffs exist. Also larger uses pay for capacity supplied to site often when a site is built.</t>
  </si>
  <si>
    <t>It makes sense to allocate capital costs heavily to times when there is no spare capacity. But this causes high, volatile, risky prices which most customers don't want to be exposed to.</t>
  </si>
  <si>
    <t>Allocation of residual costs is definitely a choice and one we can make in ways that:</t>
  </si>
  <si>
    <t>a) helps the main prices signals flow through - cheap and surplus is very cheap, scarce capacity is the time to pay for capital.</t>
  </si>
  <si>
    <t>b) is fairer. We might not actually agree that everyone pays on the basis of their kWh consumption is a good metric for residual costs. Solar creates haves and have-nots, residual could be used to tip the balance back toward equity.</t>
  </si>
  <si>
    <t>c) recognises the public good involved in bringing everyone along in the energy transition and not leaving folk behind with high costs and dirty options.</t>
  </si>
  <si>
    <t>d) help us achieve the postage stamp pricing concept (same cost in country vs city despite different network build requirements) but allow a richer sense of the underlying marginal cost for network construction in different locations.</t>
  </si>
  <si>
    <t>COSTS</t>
  </si>
  <si>
    <t>The adaptations that I've made are designed to simplify energy tariffs while still focusing on the two key drivers of cost:</t>
  </si>
  <si>
    <t xml:space="preserve">our peak, capital heavy and often inefficient and fossil-fueled kW demand and </t>
  </si>
  <si>
    <t>our clean, cheap but not always convenient renewable energy use in kWh</t>
  </si>
  <si>
    <t>Simplifications always risk being skewed or wrong, but we make them to produce useful insights - I hope my work is careful enough to provide you with insights.</t>
  </si>
  <si>
    <t xml:space="preserve">The biggest variation with my approach and others is the way I have allocated the marginal cost of building more network and generation to serve peak load. I remind the reader that this is a choice, not a right/wrong issue. </t>
  </si>
  <si>
    <t xml:space="preserve">My choices are methodologically sound but I expect methodologically different from what AEMO or AER would do. Neither body calculates the cost of peak demand across the whole network and generation sector for me to use or critique. </t>
  </si>
  <si>
    <t>My choices are limited by the data I have access to. It would be better to have data on the true investment choices and costs faced by new entrant generators and long term network investments - even if we did have this data, we would need to make choices about the relevant bits to use.</t>
  </si>
  <si>
    <t>I also have no line of sight to the variation in household load profiles - How many households use less than average? How many use significantly more? How many peaky homes with a poor ratio of average kW to peak co-incident kW are being subsidised by larger homes with flatter load profiles?</t>
  </si>
  <si>
    <t>HOUSEHOLD LOAD PROFILES</t>
  </si>
  <si>
    <t>I have made careful judgements about the energy use of the household sector in South Australia and its load profile. I've taken this from the data available but it is not always clear, and I am aware that there must be some assumptions embedded in the SA Power Networks data.</t>
  </si>
  <si>
    <t>In other states the industrial and big LV load will be different - I have focused on the household sector to avoid the differences in how costs and consumption are allocated across customer classes but we cannot see how much cross-subsidy occurs in existing allocations. Data from AER and the DNSPs continues to improve, let's not assume they have it right yet.</t>
  </si>
  <si>
    <t>In particular, I have been unable to source consistent data regarding the contribution of the residential sector to peak co-incident load in each state.</t>
  </si>
  <si>
    <t>You can see the impact of state differences in climate by looking at the AER annual peak loads for different states</t>
  </si>
  <si>
    <t>https://www.aer.gov.au/industry/registers/charts/seasonal-peak-demand-regions</t>
  </si>
  <si>
    <t xml:space="preserve">Only Tasmania is still experiencing winter peaks. Only Queensland's peak has outgrown its pre-solar peak (2009 was the worst year for SA). </t>
  </si>
  <si>
    <t>I understand that the Qld peak can still occur in the middle of the day. At the household level, I have assumed that evening summer and winter peaks on still days need to be the centre of our focus because solar will eventually displace the middle of the day peak everywhere. I can't guarantee this logic will work in the tropics so more work is needed to see what is going on there.</t>
  </si>
  <si>
    <t>We need to think about the aggregate differently from the individual home.</t>
  </si>
  <si>
    <t xml:space="preserve">I found that we get a benefit from diversity up until about 7 homes and then the benefit tapers off. This means that we can focus on the peak demand of one house but it might be occuring at a time that makes no difference to overall system costs. </t>
  </si>
  <si>
    <t>Better to understand co-incident demand and the trends that drive it (which come largely from the household sector). If we can produce a reduction in energy demand during the system peak, we can all benefit in terms of not building generation and network that will be poorly utilised</t>
  </si>
  <si>
    <t>Individual house energy consumption varies enormously because everyone has different household occupants, different house size, different building fabric and efficiency of home and appliances, different habits.</t>
  </si>
  <si>
    <t>As we move from flat tariffs to something else, we need to shift the existing cross subsidies slowly. My guess is that two types of homes are effectively cross-subsidised. (and even then, we have to agree how some costs are allocated before we could really agree what constitutes a cross-subsidy)</t>
  </si>
  <si>
    <t>Peaky homes - inefficient heating and cooling or just big users at dinner time. These homes will be producing more peak load than others but only contributing an average amount through kWh charges.</t>
  </si>
  <si>
    <t>Solar and gas homes - these homes use less electricity from the grid so they contribute a less than average amount through kWh charges. In the case of the solar homes, they are probably still pretty peaky so they are being subsidised. In the case of gas homes, I don't really know how peaky they are. Do they have airconditioning for summer?</t>
  </si>
  <si>
    <t>I would like to do some more work on the range in peak demand that we might experience because that might dictate the pace of reform. Are there much bigger cross-subsidy issues to address?  - I have access to some household profiles but they are atypical homes even for SA. I have some LV feeder data but a cluster of homes has already introduced diversity and each feeder also has loads like streetlights, NBN nodes, unoccupied homes and distortions from losses and reactive power - all of which will overstate the relationships between homes and the peak load they present.</t>
  </si>
  <si>
    <t>Also there may be mistakes - I don't guarantee anything even though I've been as careful as I can be.</t>
  </si>
  <si>
    <t>some final reasons for my choices:</t>
  </si>
  <si>
    <t>peak load in the household sector usually aligns with peak overall load - evenings and extremely hot or cold evenings to boot</t>
  </si>
  <si>
    <t>if there is plenty of wind when these happen then we don't have a need for new capital and high prices - so our peaks of concern are "dispatchable generation peaks" and are less frequent than they used to be - ie because half of those very hot or cold evenings will be windy. It is the non-windy evenings we want our model to price for - these are the dispatchable load peaks we need to focus on. Dispatchable load is significantly more expensive than renewable capacity and this will worsen as we move toward 100% renewable because the window for utilisation narrows. Price divided by 10 hours is 100 times higher than price divided by 1,000 hours. Also batteries, which are already competing successfully in this market, have costs of 20c/kWh - 40c/kWh showing that peak is already at least 4 times more valuable than bulk supply.</t>
  </si>
  <si>
    <t>Any scenario with high levels of renewables, even the AEMO ISP, throws away plenty of surplus. Surplus in the suburbs is already being wasted via export limits, high voltages, and dynamic controls. Surplus at the utility scale is often thrown away or saved in on-site batteries.</t>
  </si>
  <si>
    <t>The cost of making use of surplus renewable electricity is close to zero and in some cases will save on additional expenditure targeted at expanding capacity for limited moments.</t>
  </si>
  <si>
    <t>WHAT ABOUT SMALL AND LARGE BUSINESSES?</t>
  </si>
  <si>
    <t>There is an important assumption in this work that if we price our capital accurately, and every customer is exposed to that same price for the amount of capital usage they incur, then the allocation of costs between customer classes is fair.</t>
  </si>
  <si>
    <t>The calculator helps you think through those same components - what constitutes an accurate price for capital? How do you want to allocate costs for capital usage? Do you think your outcome is fair?</t>
  </si>
  <si>
    <t>We could easily extend this calculator to include small business with different profiles that operate at the low voltage level and cause the same costs as households, but in a nice diverse way which means many small business usage won't peak in the evenings so they should have cheaper bills.</t>
  </si>
  <si>
    <t>At a super local level, there are some location issues to manage because some clusters of shops have dedicated transformer capacity and will incur a summer afternoon peak if there is no space for rooftop solar and no price signal for peak-avoiding battery investments.</t>
  </si>
  <si>
    <t>In the same way, we can extend the cost of capital investment to large businesses, with adjustments to recognise that they incur no capital allocation of LV system costs and sometimes not even MV system. Large Dispatchable generation, HV, subtransmission and transmission are usually shared costs for all consumers and by my calculation they account for at least 50% of the total peak cost stack.</t>
  </si>
  <si>
    <t>Allocation of residual costs is more tricky and it is material (around 25% of total customer costs). This is an area where regulators can ask more questions and reveal the invisible choices and potential cross-subsidies to a larger degree. I have included my original analysis based on SAPN data as a hidden sheet. I used this as a reference to confirm whether other sources are working and identify the differences arising in different sources throughout the exercise of compiling all the state based data.</t>
  </si>
  <si>
    <t>How it works</t>
  </si>
  <si>
    <t>I've researched bottom up and top down sources of cost to identify a best estimate of total South Australian residential costs. These split down to costs that can produce price signals and residual costs.</t>
  </si>
  <si>
    <t>I collated costs for other states from SCS spreadsheets, DMO analysis by the AER, AEMC residential price forecasting and a range of other regulatory sources. I expected the price signals to be similar to SA but I have worked with the data I have to create a dataset for each state. There are different bases for many of the calculations to you may disagree with the cost of generation, capital relating to dispatchable capacity and network capital. The calculator allows you to change this and regardless, it will still give you the right idea about allocating capital and operating costs.</t>
  </si>
  <si>
    <t>The reference home in each state is based on averages. It is used to identify peak demand (kW) and consumption (kWh) associated with peak hours for the residential sector. It splits the remainder into times of fossil fuel baseload and surplus renewables associated with local solar. Remember the average home never exists. The residential contribution to peak demand is the figure I am most uncertain of here.</t>
  </si>
  <si>
    <t>In your reference home, you can choose an amount to chase surplus renewables via flexible load and this will be deducted from fossil fuel baseload.</t>
  </si>
  <si>
    <t>Once total costs have been split into price signals and residual costs, the second step of the calculation allocates price signals and residual costs to tariffs. You can choose the allocations you prefer.</t>
  </si>
  <si>
    <t>At the bottom of the calculator sheet you can see the impact of different regimes on different housing types. I have put a flat tariff in the model so we can understand what most households are paying at the moment. You have made a judgement about what everyone "should" pay based on the current allocation of residual costs and the current price signals and the calculator applies them to your reference house's breakdown of load and your residual costs - as you might expect, some households subsidise others.</t>
  </si>
  <si>
    <t>In Steps 5 and 6, I depart from the mantra that residential households are a customer class that should all be treated the same.</t>
  </si>
  <si>
    <t>Firstly, we won't get reforms without winners and losers, so I have offered ways to curtail the "bill shock" and manage the changes so everyone benefits in the long run.</t>
  </si>
  <si>
    <t>Secondly we need to think about whether the idea that all households contribute to the overall grid costs on the basis of energy use (our default, although per customer and per kW might also be used) is a better societal outcome than considering income and capacity to pay.</t>
  </si>
  <si>
    <t>In the final tab, I offer some ideas about cross subsidies and my view of better tariffs for driving transition.</t>
  </si>
  <si>
    <t>Assumptions embedded in the model</t>
  </si>
  <si>
    <t xml:space="preserve">I want to remind everyone that models are not objective. The framing of the problem and hence the way the model sets out to explore the problem is based on the way the model designer sees the world and not everyone will agree.  </t>
  </si>
  <si>
    <t>The structure of the model, which embeds some assumptions, defines parameters, focuses on some relationships and not others etc. is also biased by the model designer who has scoped the problem, simplified the real world and made judgements that will not be shared by all.</t>
  </si>
  <si>
    <t>A model is a design. I have referenced economic principles to come up with my design. Hopefully these are principles that are buried in the detail of DNSP and AER tariff modelling, but the way I have presented them will allow you to see the design of our pricing system anew.</t>
  </si>
  <si>
    <t>I have chosen the main categories of operating costs, capital costs and residual costs. I have also identified costs on the basis of certain categories that we use across the electricity system but we could juggle them into different buckets. In this model, you are constrained by my initial choices of buckets and categories.</t>
  </si>
  <si>
    <t>I have focused on residential costs because they capture a big portion of overall costs and investments. The core assumption here is that the current allocation of costs between residential and the various non-residential classes is enduring. There is always a chance that once we understand the price signals more clearly, we may want to revisit the way costs are allocated across customer classes. This model is not the right tool for that step, but it could help build out and test key ideas for a NEM wide model.</t>
  </si>
  <si>
    <t>The order in which you choose settings for variables in the model determines the design of the model. I originally wrote this model differently but then decided this stepwise approach was less confusing and more readily testable against data that you might have access to for your jurisdiction.</t>
  </si>
  <si>
    <t>If these assumptions don't work for you, I am interested to hear what you think is better</t>
  </si>
  <si>
    <t>Sequence of steps (click on Step x to jump to this Tab)</t>
  </si>
  <si>
    <t>Step 1</t>
  </si>
  <si>
    <t>Choose your state or DNSP to check your costs and choose alternative amounts if you have a better cost basis.</t>
  </si>
  <si>
    <t>The cost allocation for energy use in homes hinges initially on the kWh and peak kW contributed by the residential sector. All state and jurisdiction based data can be found in the (hidden) lookups tab</t>
  </si>
  <si>
    <t>You will see a grid-tied microgrid option at the bottom. This is for testing local energy self-sufficiency with the amount a cluster of homes should be charged at an imaginary meter between the local system and the main system. (you can see the lookup tab for more information about this system</t>
  </si>
  <si>
    <t>Step 2</t>
  </si>
  <si>
    <t>Check that the reference home matches with your expectations. Note that this is an average and the average doesn't exist (the reference home would have half a gas bill and half a solar system)</t>
  </si>
  <si>
    <t>The reference home drives allocations across different times of day or year and allocations of marginal capital, operational, per customer costs. It therefore helps determine the residual amounts.</t>
  </si>
  <si>
    <t>Step 3</t>
  </si>
  <si>
    <t>You can adjust the tariff charges in this step. I have offered my suggestions for what is a defensible "price signal" across all the key times of day.</t>
  </si>
  <si>
    <t>Step 4</t>
  </si>
  <si>
    <t>You might not want all times of day to have different price signals, so this step gives you a wide range of allocation options. Then it shows you the outcomes for different types of household.</t>
  </si>
  <si>
    <t>Step 5</t>
  </si>
  <si>
    <t>This sheet is where you think about bill shock and how to avoid it. Remember that every change we make today will cause winners and losers. We should be aiming toward a fairer cost allocation across different types of households, but we may all have different ideas about what is fair.</t>
  </si>
  <si>
    <t>Step 6</t>
  </si>
  <si>
    <t>This sheet allows you to design different outcomes for low income and hardship consumers. After many years of "treat everyone the same", we are finally seeing some recognition that "in the long term interests of consumers" could justify regulation that aims for progressive, not regressive outcomes. At the moment non-solar homes, smaller homes, inefficient electric homes in regions are likely to be cross subsidising solar homes, gas homes, large homes with high, evening airconditioning use.</t>
  </si>
  <si>
    <t>Step 7</t>
  </si>
  <si>
    <t>Finally, you can check cross subsidies here, but you might not agree with my assessment of the situation.</t>
  </si>
  <si>
    <t>Background</t>
  </si>
  <si>
    <t>lessons in Boiteux and pricing  (incomplete but some nice graphs)</t>
  </si>
  <si>
    <t>The Vinnies tariff tracker was originally used to compare the target cost in each state. I ended up using the AEMC residential price trends data which is leaner, so you can choose higher prices if you think reality is harsher than the regulators would like to believe.</t>
  </si>
  <si>
    <r>
      <t xml:space="preserve">Smith, H. (2024) </t>
    </r>
    <r>
      <rPr>
        <i/>
        <sz val="11"/>
        <color theme="1"/>
        <rFont val="Sora"/>
      </rPr>
      <t>Reimagining tariffsV6.xlsx</t>
    </r>
    <r>
      <rPr>
        <sz val="11"/>
        <color theme="1"/>
        <rFont val="Sora"/>
      </rPr>
      <t xml:space="preserve"> Available from: </t>
    </r>
  </si>
  <si>
    <t xml:space="preserve">Disclaimer and context </t>
  </si>
  <si>
    <r>
      <t>Choose State to Set Costs, then v</t>
    </r>
    <r>
      <rPr>
        <b/>
        <sz val="12"/>
        <color theme="3" tint="-0.499984740745262"/>
        <rFont val="Sora"/>
      </rPr>
      <t>iew Breakdown. You can change categorisations in the final step</t>
    </r>
  </si>
  <si>
    <t>choose a state or DNSP area</t>
  </si>
  <si>
    <t>Suggestion*</t>
  </si>
  <si>
    <t>Your choice</t>
  </si>
  <si>
    <t>Comments</t>
  </si>
  <si>
    <t>Cost recovery amount (exc GST)</t>
  </si>
  <si>
    <t>$/MWh</t>
  </si>
  <si>
    <t>This amount is for households only. You can change it or set it to the suggested amount. The suggested amount is based on a range of AER and AEMC figures for each DNSP region.</t>
  </si>
  <si>
    <t>Households</t>
  </si>
  <si>
    <t>Total annual contribution $m</t>
  </si>
  <si>
    <t>average cost per household</t>
  </si>
  <si>
    <t>Breakdown</t>
  </si>
  <si>
    <t>Recommended Reference home</t>
  </si>
  <si>
    <t>Your reference home in Step 2</t>
  </si>
  <si>
    <t>*this is for comparison, you can change the reference home in the next step. It also lacks good data. If you think you know these figures - use what you know to calculate the two key figures - what the resi sector uses and how much it contributes to co-incident peak load.</t>
  </si>
  <si>
    <t>Electricity use - residential sector</t>
  </si>
  <si>
    <t>GWh</t>
  </si>
  <si>
    <t>Average electricity purchased per household</t>
  </si>
  <si>
    <t>kWh</t>
  </si>
  <si>
    <t>Contribution to peak demand</t>
  </si>
  <si>
    <t>MW</t>
  </si>
  <si>
    <t>Avg contribution per household</t>
  </si>
  <si>
    <t>kW</t>
  </si>
  <si>
    <t>Residential proportion of total peak demand</t>
  </si>
  <si>
    <t>Peak Co-incident Demand</t>
  </si>
  <si>
    <t>Costs based on defaults (Step 3)</t>
  </si>
  <si>
    <t xml:space="preserve">Your total costs including Step 3 adjustments </t>
  </si>
  <si>
    <t>Cost of Peak Demand (total)</t>
  </si>
  <si>
    <t xml:space="preserve">million dollars /year </t>
  </si>
  <si>
    <t>Calculated as annualised capital cost for generation and network assets</t>
  </si>
  <si>
    <t>Breakdown of Peak Demand costs:</t>
  </si>
  <si>
    <t>Wholesale peak demand costs</t>
  </si>
  <si>
    <t xml:space="preserve">million dollars per year </t>
  </si>
  <si>
    <t>Generators lower down in the merit order recoup some capital when the strike price is higher than their SRMC so this price represents the capital costs of the peakiest generator (in theory)</t>
  </si>
  <si>
    <t>Distribution peak demand costs</t>
  </si>
  <si>
    <t>This relates to long run marginal cost published by each DNSP but there's plenty to argue about here. DNSP published LRMC rates vary all over the place.</t>
  </si>
  <si>
    <t>Transmission peak demand costs</t>
  </si>
  <si>
    <t>The transmission companies provide different backbone and interconnection services in each state so it is difficult to divine a good LRMC. I have use $30/kW/yr across the board.</t>
  </si>
  <si>
    <t>OPEX</t>
  </si>
  <si>
    <t>Annual operating costs</t>
  </si>
  <si>
    <t>million dollars</t>
  </si>
  <si>
    <t>Breakdown of Annual Operating costs:</t>
  </si>
  <si>
    <t>Wholesale fuel + some capital costs</t>
  </si>
  <si>
    <t>This tracks different costs at different price points / load levels  on a theoretical basis</t>
  </si>
  <si>
    <t>Distribution operating costs</t>
  </si>
  <si>
    <t>This relates to SAPN OPEX rates from the last reset</t>
  </si>
  <si>
    <t>RET, Government and jurisdictional charges</t>
  </si>
  <si>
    <t>I have included a premium for renewable energy here which captures slightly too much of the cost of the RET and definitely relates on a /MWh basis</t>
  </si>
  <si>
    <t>Transfer to solar owners</t>
  </si>
  <si>
    <t>?</t>
  </si>
  <si>
    <t>Up until recently, there was a feed-in tariff of around 4c/kWh but it is now down to zero in most places so I have not added it to the model. NSW DNSPs are paying solar owners sometimes and this will certainly increase with batteries. The amounts are currently small. We could discuss transfers in another version of this calculator. Cost-reflective amounts would need to take into account that exports should have minimal network costs because they ideally occur to improve energy supply locally.</t>
  </si>
  <si>
    <t>Shadow Carbon Price</t>
  </si>
  <si>
    <t>I have chosen to take this out of residual costs and include it as an operating cost. In Step 3, you can choose something different</t>
  </si>
  <si>
    <t>Per customer costs</t>
  </si>
  <si>
    <t>Retail costs</t>
  </si>
  <si>
    <t>Following the AER DMO, I have interpreted retail costs as largely related to customers on a per customer basis</t>
  </si>
  <si>
    <t>Distribution per customer costs</t>
  </si>
  <si>
    <t>Values based on $120 per customer per year, gleaned largely from detail in SAPN accounts</t>
  </si>
  <si>
    <t>Residual amounts</t>
  </si>
  <si>
    <t>Residual costs</t>
  </si>
  <si>
    <t>Who generates residual costs?</t>
  </si>
  <si>
    <t>Wholesale market hedging etc.</t>
  </si>
  <si>
    <t>It is hard to know if Retailers could manage this in ways that would impact generation build (peak demand) or fuel costs (opating costs) but it feels like a cost without a possible price signal so I have called it "residual"</t>
  </si>
  <si>
    <t>Wholesale market net after shadow carbon price</t>
  </si>
  <si>
    <t>When this is negative, the shadow carbon price cannot be fully covered by residual costs in the wholesale market</t>
  </si>
  <si>
    <t>Distribution residual costs</t>
  </si>
  <si>
    <t>Costs not covered by LRMC or OPEX</t>
  </si>
  <si>
    <t>Transmission</t>
  </si>
  <si>
    <t>Remaining Transmission costs</t>
  </si>
  <si>
    <t>Retail</t>
  </si>
  <si>
    <t>Mainly bad debts</t>
  </si>
  <si>
    <t>Government and jurisdictional charges</t>
  </si>
  <si>
    <t>I categorise the remainder of renewable, energy efficiency schemes and various other jurisdictional charges as residual because payment does not relate to per customer costs. We could put the whole lot in as residual</t>
  </si>
  <si>
    <t>short run marginal costs</t>
  </si>
  <si>
    <t>long run marginal costs</t>
  </si>
  <si>
    <t>per customer costs</t>
  </si>
  <si>
    <t>residual costs</t>
  </si>
  <si>
    <t>Your adjustments</t>
  </si>
  <si>
    <t>Reference household (average of all residential consumers)</t>
  </si>
  <si>
    <t>Tick box if you want your figures to be used</t>
  </si>
  <si>
    <t>Annual Consumption from grid (kWh/yr)</t>
  </si>
  <si>
    <t>Daily rate kWh/day</t>
  </si>
  <si>
    <t>kWh/day</t>
  </si>
  <si>
    <t>Contribution to peak load (est)</t>
  </si>
  <si>
    <t>Average load (kW)</t>
  </si>
  <si>
    <t>Grid load factor</t>
  </si>
  <si>
    <t>Amount purchased from local solar</t>
  </si>
  <si>
    <t>Self-consumed solar</t>
  </si>
  <si>
    <t>Underlying load</t>
  </si>
  <si>
    <t>Amount that could be flexible</t>
  </si>
  <si>
    <t>Tonnes of carbon</t>
  </si>
  <si>
    <t>tonnes CO2e per yr</t>
  </si>
  <si>
    <t>Peak load</t>
  </si>
  <si>
    <t>kWh in top 10 hrs</t>
  </si>
  <si>
    <t>assumes load averages 95% of peak load for 10 hours</t>
  </si>
  <si>
    <t>kWh in next 90 hrs</t>
  </si>
  <si>
    <t>assumes load averages 80% of peak load for 90 hours</t>
  </si>
  <si>
    <t>kWh in next 400 hrs</t>
  </si>
  <si>
    <t>assumes load averages 65% of peak load for 400 hours</t>
  </si>
  <si>
    <t>remaining (non-peak) load</t>
  </si>
  <si>
    <t>load allocated to baseload fossil fuels</t>
  </si>
  <si>
    <t>load allocated to surplus solar times</t>
  </si>
  <si>
    <t>load allocated to flexible times</t>
  </si>
  <si>
    <t>* I've assumed 10% of the amount available just to start the conversation</t>
  </si>
  <si>
    <t>Reference state or DNSP</t>
  </si>
  <si>
    <t>Proportion of solar homes</t>
  </si>
  <si>
    <t>Proportion of gas homes</t>
  </si>
  <si>
    <t>Emissions factor for electricity</t>
  </si>
  <si>
    <t>kg CO2e/MWh</t>
  </si>
  <si>
    <t>Number of homes</t>
  </si>
  <si>
    <t>homes</t>
  </si>
  <si>
    <t>Total electricity purchased by residential sector</t>
  </si>
  <si>
    <t>Total residential contribution to peak demand</t>
  </si>
  <si>
    <t>Total Household solar production</t>
  </si>
  <si>
    <t>Proportion of self consumption</t>
  </si>
  <si>
    <t>Total solar self-consumed by households</t>
  </si>
  <si>
    <t>Underlying load of residential sector</t>
  </si>
  <si>
    <t>Total cost (from step 1.)</t>
  </si>
  <si>
    <t>$m</t>
  </si>
  <si>
    <t>Average annual cost per home</t>
  </si>
  <si>
    <t>$ per year</t>
  </si>
  <si>
    <t>Explanations</t>
  </si>
  <si>
    <t>Proposed Charges and Price Signals</t>
  </si>
  <si>
    <t>Fill in your preferred figures in the green boxes and tick the box if you want them to be used in the main model</t>
  </si>
  <si>
    <t>Peak Demand</t>
  </si>
  <si>
    <t>$/kW/yr</t>
  </si>
  <si>
    <t>Boiteux pricing underpins the wholesale market design and allocates capital costs in a particular way (the strike price is set at the SRMC of the generator at the top of the merit stack. In these moments generators with lower SRMC pay off some of their capital.) But after peak dispatchable load, some capital still has not been reimbursed which is why we allow our prices to float very high.</t>
  </si>
  <si>
    <t>Cost of building Generation</t>
  </si>
  <si>
    <t>Under Boiteux pricing, $50/kW/yr for the entire generator stack is likely to be the "missing money" for the marginal generation (I often refer to this as emergency peak or diesels - it is the generation that only runs in the most extreme peaks eg in the hottest or coldest years).</t>
  </si>
  <si>
    <t>Cost of building Distribution Network</t>
  </si>
  <si>
    <t xml:space="preserve">I have added the published LRMC of distribution networks. These are all calculated  in a few different ways and highly sensitive to the existing spare capacity and the growth or decline of load due to more local energy (rooftop solar). </t>
  </si>
  <si>
    <t>Cost of building Transmission Network</t>
  </si>
  <si>
    <t>I've also included $30 for the transmission LRMC. Some transmission is backbone and some is interconnection so I've found it difficult to understand what costs would change if we stopped growing demand.</t>
  </si>
  <si>
    <t>How much DNSP build cost should we include?</t>
  </si>
  <si>
    <t>I haven't quite made up my mind. On one hand we could mirror the wholesale market and put most of the LRMC into that peak moment. On the other hand we could argue that 35% of this is the underutilised peak capacity and everyone should contribute equally to the 65% of other capacity.</t>
  </si>
  <si>
    <t>Operating Costs</t>
  </si>
  <si>
    <t>These costs are applied across all units of electricity although it could be argued that some moments are more expensive than others</t>
  </si>
  <si>
    <t>Distribution Network</t>
  </si>
  <si>
    <t>$15/MWh is the small amount of network maintenance that I would argue is directly associated with network use.</t>
  </si>
  <si>
    <t>Even though the AER treat all retail costs as per customer costs, I think some of the financial side, hedging and managing volume will vary with volume so I have added a small proportion.</t>
  </si>
  <si>
    <t>Renewable and other schemes</t>
  </si>
  <si>
    <t>I may have double counted here because the AER and the AEMC both count some of these schemes but neither counts all of them.</t>
  </si>
  <si>
    <t>Renewable Premium</t>
  </si>
  <si>
    <t>Should we pay anything for renewable energy when its marginal cost is zero and we are trying to encourage use at times of surplus? I have added a modest amount into renewable premium times.</t>
  </si>
  <si>
    <t>Generator fuel and operating costs</t>
  </si>
  <si>
    <t>Fuel costs</t>
  </si>
  <si>
    <t>Total operating costs</t>
  </si>
  <si>
    <t>Include a carbon price?</t>
  </si>
  <si>
    <t>Shadow carbon price ($/tonne) converted to $/MWh</t>
  </si>
  <si>
    <t>$70/tonne is the rate which is used by AEMC to evaluate changes to the market rules. It could also be incorporated in pricing without changing the overall amounts recovered. I have done this by taking residual costs and turning them into price signals. If you choose a different carbon price (in $/MWh) your prices will adjust to reflect your price rather than mine.</t>
  </si>
  <si>
    <t>Top 10 hours</t>
  </si>
  <si>
    <t>Column G represents the fuel price (Column F) plus the other operating costs plus the carbon price. The calculator does not use cell J15 directly but changing it is an easy way to adjust only the carbon price across all the other operating costs.</t>
  </si>
  <si>
    <t>Next 90 hours</t>
  </si>
  <si>
    <t>Next 400 hours</t>
  </si>
  <si>
    <t>Fossil fuel baseload</t>
  </si>
  <si>
    <t>Solar sponge</t>
  </si>
  <si>
    <t>Flexible renewable chasers</t>
  </si>
  <si>
    <t>Per Customer costs</t>
  </si>
  <si>
    <t>$ p.a. per customer</t>
  </si>
  <si>
    <t>$ p.a.</t>
  </si>
  <si>
    <t>I have reduced this from the DMO fixed cost to something closer to the metering, direct network and call centre costs which we could be expected to relate to each customer. I based it on SAPN but have applied across the board.</t>
  </si>
  <si>
    <t>Residual Costs</t>
  </si>
  <si>
    <t>In the Calculator (Step 4) you can allocate residual costs in many different ways. By capacity used, by volume of energy used, by customer are the obvious three options. However, I introduce the idea of using the residual costs to sharpen or dull the price signals, and to help manage bill shock. In Step 5, I also offer an "bring everyone on the transition" equity option which allows some customers not to pay any residual costs.</t>
  </si>
  <si>
    <t>Indicative breakdown</t>
  </si>
  <si>
    <t>Your values</t>
  </si>
  <si>
    <t xml:space="preserve">Your values takes into account your choice of cost recovery amount (Step 1.) Your reference home (Step 2.) and your charges in this step. IF YOU HAVE ticked the box "use my values". If you have left any boxes blank it will not work. </t>
  </si>
  <si>
    <t>Your values will be different because the carbon price is smeared across every $/MWh category</t>
  </si>
  <si>
    <t>Transmission Network</t>
  </si>
  <si>
    <t>Wholesale</t>
  </si>
  <si>
    <t>If this is low, it is because the Carbon Price has reduced it. Residual costs in the wholesale market are not huge because the spot market is ruthlessly efficient. Hedging and risk management all add costs, and all generators have overheads that should not be allocated to capital or running costs.</t>
  </si>
  <si>
    <t>This is mainly $30 per customer for debts and unlikely bill recovery. We could argue about whether the retail costs per customer are too high - I simply followed AER and did not have a strong basis for changing the approach</t>
  </si>
  <si>
    <t>This could become negative because I added the renewable premium here.</t>
  </si>
  <si>
    <t>Total</t>
  </si>
  <si>
    <t>Residual proportion of total costs</t>
  </si>
  <si>
    <t>Calculator - Choose your structure</t>
  </si>
  <si>
    <t>How would you like to allocate the cost of building new network or generation?</t>
  </si>
  <si>
    <t>How sharp would you like any peak charges to be?</t>
  </si>
  <si>
    <t>Should there be a cheap solar sponge time?</t>
  </si>
  <si>
    <t>tick for yes</t>
  </si>
  <si>
    <t>Should there be a cheap time for flexible loads that can turn on for surplus wind?</t>
  </si>
  <si>
    <t>What percentage of remaining costs should be allocated:</t>
  </si>
  <si>
    <t>Make sure these add up to 100%</t>
  </si>
  <si>
    <t>On a per customer basis?</t>
  </si>
  <si>
    <t>On a per kW basis?</t>
  </si>
  <si>
    <t>On a volume basis (per kWh)?</t>
  </si>
  <si>
    <t>Where should remaining volume allocations go?</t>
  </si>
  <si>
    <t>Remember, to support price signals these can be used to make peaky charges peakier, and renewables charges will stay low if those times are avoided</t>
  </si>
  <si>
    <t>Your Tariff categories</t>
  </si>
  <si>
    <t>Your tariffs</t>
  </si>
  <si>
    <t>Fixed charges</t>
  </si>
  <si>
    <t>$/yr/customer</t>
  </si>
  <si>
    <t>c/kWh</t>
  </si>
  <si>
    <t>Checks:</t>
  </si>
  <si>
    <t>$/ home / year</t>
  </si>
  <si>
    <t>$/MWh avg</t>
  </si>
  <si>
    <t>$/kW</t>
  </si>
  <si>
    <t>Original reference home and original costs</t>
  </si>
  <si>
    <t>Your reference home and your costs</t>
  </si>
  <si>
    <t>Your reference home via your tariffs</t>
  </si>
  <si>
    <t>Comparing outcomes for different homes</t>
  </si>
  <si>
    <t xml:space="preserve">Your tariff </t>
  </si>
  <si>
    <t>How much is this home paying on a flat tariff?</t>
  </si>
  <si>
    <t>$/year</t>
  </si>
  <si>
    <t>How would you like to avoid bill shock?</t>
  </si>
  <si>
    <t>Insurance / risk management</t>
  </si>
  <si>
    <t>Can we insure homes against the worst expenses while still allowing them to enjoy the benefits of reducing peak load?</t>
  </si>
  <si>
    <t>Do you think we should try?</t>
  </si>
  <si>
    <t>What price rise should we allow on average for everyone?</t>
  </si>
  <si>
    <t xml:space="preserve"> Choose your preferred amount - remember many Bills have also gone down and everyone has new opportunities for savings with your new tariffs</t>
  </si>
  <si>
    <t>Do you want to improve my other assumptions?</t>
  </si>
  <si>
    <t>What rise above everyone else should these peaky homes endure?</t>
  </si>
  <si>
    <t>Interventions</t>
  </si>
  <si>
    <t>Should we intervene when homes are struggling to understand why high costs have occurred and how to start solving the problem?</t>
  </si>
  <si>
    <t>Do you think energy bills should fund interventions?</t>
  </si>
  <si>
    <t>Expensive action 2 - the loads associated with peak are heating and cooling and they are going to rise as more people electrify. Does it make sense to cycle these on the hottest and coldest evenings? Can the building fabric have enough thermal mass that the home can be preheated or precooled, allowing a reduction in load during the few key evenings of the year?</t>
  </si>
  <si>
    <t>In the step above you identified an average amount of:</t>
  </si>
  <si>
    <t>transfer needed, which in dollars amounts to…</t>
  </si>
  <si>
    <t>Adjusted outcomes for different homes</t>
  </si>
  <si>
    <t>New Costs</t>
  </si>
  <si>
    <t>How much cost or benefit compared to your tariff?</t>
  </si>
  <si>
    <t>How would you like to promote equity?</t>
  </si>
  <si>
    <t>Your price signals*</t>
  </si>
  <si>
    <t>*These will persist for all consumers. The argument is that consumers cause these costs and therefore if they use less energy especially at peak times they will reduce system costs</t>
  </si>
  <si>
    <t>$/year/kW</t>
  </si>
  <si>
    <t>Although the DNSP and retailer are entitled by the regulator to charge these costs on a per customer basis, they will include overheads and other costs that are not directly caused by consumers</t>
  </si>
  <si>
    <t>$/customer/year</t>
  </si>
  <si>
    <t>What proportion should low income consumers should pay?</t>
  </si>
  <si>
    <t>Are prices still too high for low income consumers?</t>
  </si>
  <si>
    <t>I haven't made efforts to reduce these prices further but you could. Firstly check the Charges Tab to understand how prices are compiled, and adjust any price signals you think are overstated</t>
  </si>
  <si>
    <t>Interventions to improve homes, electrify and add solar are all ways to reduce Bills (for everyone! But low income consumers are more likely to live in poorly designed houses with inefficient appliances)</t>
  </si>
  <si>
    <t>If you really want to change the calculator more, you can play with the settings in the Different Homes Tab - especially cell BN5 where the residual amount is calculated</t>
  </si>
  <si>
    <t>Depending on the tariffs we end up with, (hopefully fairer and more cost-reflective than the current situation), helping households understand the most expensive moments in the year with strategies to reduce consumption in those times will help to a large extent</t>
  </si>
  <si>
    <t>Adjusted outcomes for different consumers</t>
  </si>
  <si>
    <t>Main rates</t>
  </si>
  <si>
    <t>Low income costs</t>
  </si>
  <si>
    <t>Hardship* customer costs</t>
  </si>
  <si>
    <t>* assumes Hardship customers pay no residual costs. It is pretty difficult to argue that they should because allowing debt to balloon and risking disonnections simply forces costs into other parts of the system or society more widely.</t>
  </si>
  <si>
    <t>Values the baseline needs to reflect</t>
  </si>
  <si>
    <t>Did you include a carbon price?</t>
  </si>
  <si>
    <t>How did you think residuals should be allocated?</t>
  </si>
  <si>
    <t>per customer</t>
  </si>
  <si>
    <t>per kW</t>
  </si>
  <si>
    <t>per kWh</t>
  </si>
  <si>
    <t>What residual costs do you have to allocate?</t>
  </si>
  <si>
    <t>/yr/home</t>
  </si>
  <si>
    <t>What proportion of your reference costs were cost-reflective?</t>
  </si>
  <si>
    <t>Where the red arrow suggests a cross subsidy in favour of this household when compared against the baseline</t>
  </si>
  <si>
    <t>Comparing different outcomes</t>
  </si>
  <si>
    <t>Baseline</t>
  </si>
  <si>
    <t>Flat tariff</t>
  </si>
  <si>
    <t>My preferences</t>
  </si>
  <si>
    <t>Where the yellow arrow is only a modest difference</t>
  </si>
  <si>
    <t>difference</t>
  </si>
  <si>
    <t>Where the green arrow suggests this household is subsidising others and should be paying closer to the baseline</t>
  </si>
  <si>
    <t>Residential customers energy deliveries</t>
  </si>
  <si>
    <t>Exports</t>
  </si>
  <si>
    <t>Total energy delivered</t>
  </si>
  <si>
    <t>Residential customer numbers</t>
  </si>
  <si>
    <t>Total customer numbers</t>
  </si>
  <si>
    <t>Coincident Weather Adjusted System Annual Maximum Demand 10% POE</t>
  </si>
  <si>
    <t>avg House coincident peak demand</t>
  </si>
  <si>
    <t>Residential</t>
  </si>
  <si>
    <t>rooftop solar</t>
  </si>
  <si>
    <t>proportion</t>
  </si>
  <si>
    <t>underlying load</t>
  </si>
  <si>
    <t>proportion of homes with gas HW</t>
  </si>
  <si>
    <t>Revenue Stack</t>
  </si>
  <si>
    <t>Network data from SCS</t>
  </si>
  <si>
    <t>Wholesale and retail from AEMC</t>
  </si>
  <si>
    <t>Total amount (resi for this jurisdiction</t>
  </si>
  <si>
    <t>reference amount</t>
  </si>
  <si>
    <t>solar purchased locally</t>
  </si>
  <si>
    <t>solar self-consumed</t>
  </si>
  <si>
    <t>Proportion of homes with solar</t>
  </si>
  <si>
    <t>Coincident Raw System Annual Maximum Demand</t>
  </si>
  <si>
    <t>residential proportion of typical maximum demand</t>
  </si>
  <si>
    <t>LRMC from Energeia</t>
  </si>
  <si>
    <t>residential</t>
  </si>
  <si>
    <t xml:space="preserve">Distribution </t>
  </si>
  <si>
    <t>Region</t>
  </si>
  <si>
    <t>Resi GWh</t>
  </si>
  <si>
    <t xml:space="preserve">MW </t>
  </si>
  <si>
    <t>kWh/yr/residential customer</t>
  </si>
  <si>
    <t>contribution to coincident peak demand (MW)</t>
  </si>
  <si>
    <t>exported</t>
  </si>
  <si>
    <t>kWh/customer</t>
  </si>
  <si>
    <t>%</t>
  </si>
  <si>
    <t>Network total$m</t>
  </si>
  <si>
    <t>Dist</t>
  </si>
  <si>
    <t>Tx</t>
  </si>
  <si>
    <t>JO</t>
  </si>
  <si>
    <t>Metering</t>
  </si>
  <si>
    <t>exports</t>
  </si>
  <si>
    <t>Renewable/Energy Efficiency Schemes (might be overlap with JO but mostly the RET)</t>
  </si>
  <si>
    <t>Average cost per resi customer</t>
  </si>
  <si>
    <t>Emissions for centralised electricity</t>
  </si>
  <si>
    <t>Residential ($/kVA/year)</t>
  </si>
  <si>
    <t>peak costs $m</t>
  </si>
  <si>
    <t>State Lookup</t>
  </si>
  <si>
    <t>Ausgrid - NSW</t>
  </si>
  <si>
    <t>NSW</t>
  </si>
  <si>
    <t>Ausnet - Vic</t>
  </si>
  <si>
    <t>Vic</t>
  </si>
  <si>
    <t>CitiPower Vic</t>
  </si>
  <si>
    <t>Endeavour - NSW</t>
  </si>
  <si>
    <t>Energex - Qld</t>
  </si>
  <si>
    <t>Qld</t>
  </si>
  <si>
    <t>Ergon - Qld</t>
  </si>
  <si>
    <t>Essential - NSW</t>
  </si>
  <si>
    <t>Evoenergy - ACT</t>
  </si>
  <si>
    <t>ACT</t>
  </si>
  <si>
    <t>Jemena - Vic</t>
  </si>
  <si>
    <t>Powercor - Vic</t>
  </si>
  <si>
    <t>SA Power Networks - SA</t>
  </si>
  <si>
    <t>SA</t>
  </si>
  <si>
    <t>TasNetworks - Tas</t>
  </si>
  <si>
    <t>Tas</t>
  </si>
  <si>
    <t>United Energy - Vic</t>
  </si>
  <si>
    <t>Power and Water Corp - NT (est)</t>
  </si>
  <si>
    <t>NT</t>
  </si>
  <si>
    <t>Horizon - WA (est)</t>
  </si>
  <si>
    <t>WA</t>
  </si>
  <si>
    <t>Western Power - WA (est)</t>
  </si>
  <si>
    <t>All Regions</t>
  </si>
  <si>
    <t>All</t>
  </si>
  <si>
    <t>NEM</t>
  </si>
  <si>
    <t>Grid-tied microgrid*</t>
  </si>
  <si>
    <t>* A grid-tied microgrid is self-sufficient to an economically effiicient level. It is based on 1000 fully electrified homes with flexible charging of EVs and batteries. It assumes rooftop solar is the only suitable local resource. It is in Victoria so reflects a noticeable difference between summer and winter production. I should include shops when I come to use this part of the calculator in anger</t>
  </si>
  <si>
    <t>Critical factors you may wish to change. I have chosen the number I consider most suitable, so I have not suggested these as "choices" for the main calculator</t>
  </si>
  <si>
    <t>Charges</t>
  </si>
  <si>
    <t>Units</t>
  </si>
  <si>
    <t>Distribution</t>
  </si>
  <si>
    <t>RET</t>
  </si>
  <si>
    <t>Other Govt. schemes</t>
  </si>
  <si>
    <t>Indicative Total</t>
  </si>
  <si>
    <t>kW -&gt; kVA</t>
  </si>
  <si>
    <t>see column AG</t>
  </si>
  <si>
    <t>state values below</t>
  </si>
  <si>
    <t>Shadow carbon price</t>
  </si>
  <si>
    <t>$/tonne carbon</t>
  </si>
  <si>
    <t>Residual</t>
  </si>
  <si>
    <t>calculated each time</t>
  </si>
  <si>
    <t>Retail per customer costs in each state</t>
  </si>
  <si>
    <t>renewables and other schemes</t>
  </si>
  <si>
    <t>proportion of homes with gas hot water (ECA data)</t>
  </si>
  <si>
    <t>c/kWh from AEMC</t>
  </si>
  <si>
    <t>$/customer after adjustments</t>
  </si>
  <si>
    <t>solar homes</t>
  </si>
  <si>
    <t>gas homes</t>
  </si>
  <si>
    <t>for volume weighting</t>
  </si>
  <si>
    <t>Final Rate</t>
  </si>
  <si>
    <t>Jurisdiction</t>
  </si>
  <si>
    <t>Total $m</t>
  </si>
  <si>
    <t>grid-tied</t>
  </si>
  <si>
    <t>losses??? I could up my price signal by an amount including losses (+4%-9%) but it would just come off the residual so probably not worth bothering about</t>
  </si>
  <si>
    <t>With Your Choices</t>
  </si>
  <si>
    <t>Behind the scenes calculations - charge buckets</t>
  </si>
  <si>
    <t>Units -&gt;</t>
  </si>
  <si>
    <t>New cost ratio</t>
  </si>
  <si>
    <t>$m to be allocated:</t>
  </si>
  <si>
    <t>Customers</t>
  </si>
  <si>
    <t>Peak Demand (MW)</t>
  </si>
  <si>
    <t>Ratio</t>
  </si>
  <si>
    <t>GWh below</t>
  </si>
  <si>
    <t>tonnes CO2e below</t>
  </si>
  <si>
    <t>Residual as $/MWh</t>
  </si>
  <si>
    <t>highlights are custom for each jurisdiction</t>
  </si>
  <si>
    <t>Residual as $/customer</t>
  </si>
  <si>
    <t>Residual as $/kW</t>
  </si>
  <si>
    <t>What residual with my charges and your overall costs?</t>
  </si>
  <si>
    <t>Check total residual per yr per customer</t>
  </si>
  <si>
    <t>Total expected per customer</t>
  </si>
  <si>
    <t>Percentage allocations</t>
  </si>
  <si>
    <t>Total per customer</t>
  </si>
  <si>
    <t>Per customer</t>
  </si>
  <si>
    <t>1 customer</t>
  </si>
  <si>
    <t>$/customer</t>
  </si>
  <si>
    <t>Type of peak charging</t>
  </si>
  <si>
    <t>Demand charge</t>
  </si>
  <si>
    <t>Energy Charge</t>
  </si>
  <si>
    <t>Total per kW</t>
  </si>
  <si>
    <t>A Demand Charge ($/kW/year)</t>
  </si>
  <si>
    <t>An Energy charge at peak times (c/kWh)</t>
  </si>
  <si>
    <t>see below - column h</t>
  </si>
  <si>
    <t>Both a demand and an energy charge</t>
  </si>
  <si>
    <t>as per row 84</t>
  </si>
  <si>
    <t>see below - column g</t>
  </si>
  <si>
    <t>No price signal for peak usage</t>
  </si>
  <si>
    <t>Choice -&gt;</t>
  </si>
  <si>
    <t>Energy incorporates demand costs ($customer)</t>
  </si>
  <si>
    <t>Price signal only</t>
  </si>
  <si>
    <t>all customers</t>
  </si>
  <si>
    <t>Final cost addition</t>
  </si>
  <si>
    <t>which charge?</t>
  </si>
  <si>
    <t>final cost ($/MWh)</t>
  </si>
  <si>
    <t>demand residuals to be removed</t>
  </si>
  <si>
    <t>How sharp?</t>
  </si>
  <si>
    <t>volume (GWh)</t>
  </si>
  <si>
    <t>Energy in addition to a demand signal</t>
  </si>
  <si>
    <t>energy and peak (option 3)</t>
  </si>
  <si>
    <t>all in an energy charge (option 2)</t>
  </si>
  <si>
    <t>top 10 hours per year</t>
  </si>
  <si>
    <t>top 100 hours per year</t>
  </si>
  <si>
    <t>top 500 hours per year</t>
  </si>
  <si>
    <t>no peak energy charge</t>
  </si>
  <si>
    <t>volume added to ff baseload</t>
  </si>
  <si>
    <t>costs to be added to ff baseload</t>
  </si>
  <si>
    <t>Check</t>
  </si>
  <si>
    <t>Volume/customer</t>
  </si>
  <si>
    <t>Cost per year</t>
  </si>
  <si>
    <t>Price signal before residuals</t>
  </si>
  <si>
    <t>Reallocations</t>
  </si>
  <si>
    <t>Amount (per customer)</t>
  </si>
  <si>
    <t>True / False</t>
  </si>
  <si>
    <t>Volume to be reallocated</t>
  </si>
  <si>
    <t>Amount to be reallocated(per customer)</t>
  </si>
  <si>
    <t>fixed costs</t>
  </si>
  <si>
    <t>Demand</t>
  </si>
  <si>
    <t>Peak times</t>
  </si>
  <si>
    <t>Main ff baseload</t>
  </si>
  <si>
    <t>Load flex</t>
  </si>
  <si>
    <t>percentage to be volume based -&gt;</t>
  </si>
  <si>
    <t>TOTAL</t>
  </si>
  <si>
    <t xml:space="preserve">Remaining volume costs </t>
  </si>
  <si>
    <t>Reallocation amount $/MWh</t>
  </si>
  <si>
    <t>Across all consumption</t>
  </si>
  <si>
    <t>Across fossil fuel baseload and peak</t>
  </si>
  <si>
    <t>Across fossil fuel baseload only</t>
  </si>
  <si>
    <t>Across fossil fuel baseload and renewable times</t>
  </si>
  <si>
    <t>Base $/MWh</t>
  </si>
  <si>
    <t>Original volume</t>
  </si>
  <si>
    <t>adjusted base</t>
  </si>
  <si>
    <t>reallocation</t>
  </si>
  <si>
    <t>total ($/MWh)</t>
  </si>
  <si>
    <t>Main tariff targeted at fossil fuel times</t>
  </si>
  <si>
    <t>Solar sponge tariff</t>
  </si>
  <si>
    <t>Flexible load tariff</t>
  </si>
  <si>
    <t>Flat Tariff calculation</t>
  </si>
  <si>
    <t>total costs</t>
  </si>
  <si>
    <t>remainder</t>
  </si>
  <si>
    <t>volume</t>
  </si>
  <si>
    <t>My original tariff calculation but your overall costs (balance made up in residual)</t>
  </si>
  <si>
    <t>with residual matching</t>
  </si>
  <si>
    <t>Chart</t>
  </si>
  <si>
    <t>price stacks for graphs</t>
  </si>
  <si>
    <t>Cost</t>
  </si>
  <si>
    <t>hours</t>
  </si>
  <si>
    <t>peak kW</t>
  </si>
  <si>
    <t>flat tariff - costs</t>
  </si>
  <si>
    <t>your tariff - costs</t>
  </si>
  <si>
    <t>Total costs</t>
  </si>
  <si>
    <t>Price stack - now</t>
  </si>
  <si>
    <t>Price stack - renewable, electrified future</t>
  </si>
  <si>
    <t>Reference kWh</t>
  </si>
  <si>
    <t>reference costs</t>
  </si>
  <si>
    <t>flat tariff - ref</t>
  </si>
  <si>
    <t>flat tariff EEE home</t>
  </si>
  <si>
    <t>yours tariff - ref</t>
  </si>
  <si>
    <t>yours EEE home</t>
  </si>
  <si>
    <t>TOTAL COSTS</t>
  </si>
  <si>
    <t>electrified future</t>
  </si>
  <si>
    <t>NEM 2024</t>
  </si>
  <si>
    <t>RE future</t>
  </si>
  <si>
    <t>Reference home</t>
  </si>
  <si>
    <t>fully electrified without battery</t>
  </si>
  <si>
    <t>now</t>
  </si>
  <si>
    <t>renewable, electrified future</t>
  </si>
  <si>
    <t>Generation</t>
  </si>
  <si>
    <t>Networks</t>
  </si>
  <si>
    <t>Govt</t>
  </si>
  <si>
    <t>ref home</t>
  </si>
  <si>
    <t>fully electrified home</t>
  </si>
  <si>
    <t>.</t>
  </si>
  <si>
    <t>ref total</t>
  </si>
  <si>
    <t>reference total</t>
  </si>
  <si>
    <t>Residual &amp; Carbon price</t>
  </si>
  <si>
    <t>Residual and carbon price</t>
  </si>
  <si>
    <t>residual</t>
  </si>
  <si>
    <t>Fixed costs</t>
  </si>
  <si>
    <t>self-consumed</t>
  </si>
  <si>
    <t>locally consumed</t>
  </si>
  <si>
    <t>wind surplus times</t>
  </si>
  <si>
    <t>solar surplus times</t>
  </si>
  <si>
    <t>baseload times</t>
  </si>
  <si>
    <t>Data from Different Homes Tab</t>
  </si>
  <si>
    <t>costs for fully electrified in RE future</t>
  </si>
  <si>
    <t>future costs?</t>
  </si>
  <si>
    <t>Data from original breakdown (1. Choose State)</t>
  </si>
  <si>
    <t>my costs ($m)</t>
  </si>
  <si>
    <t>my costs as percentages</t>
  </si>
  <si>
    <t>category percentages</t>
  </si>
  <si>
    <t>total annual contribution - your costs $m</t>
  </si>
  <si>
    <t>($/home)</t>
  </si>
  <si>
    <t>Divisor</t>
  </si>
  <si>
    <t>rough allocation across times by hours</t>
  </si>
  <si>
    <t>peak chosen</t>
  </si>
  <si>
    <t>ff baseload</t>
  </si>
  <si>
    <t>solar surplus</t>
  </si>
  <si>
    <t>wind surplus</t>
  </si>
  <si>
    <t>Factors allocating costs across the residential sector differently than currently occurs</t>
  </si>
  <si>
    <t>Key amounts chosen in Calculator</t>
  </si>
  <si>
    <t>Tariff calculation</t>
  </si>
  <si>
    <t>Results from 5.</t>
  </si>
  <si>
    <t>Price signals only, for low income calculation</t>
  </si>
  <si>
    <t>Final comparisons - my preferences</t>
  </si>
  <si>
    <t>Final comparisons - a baseline</t>
  </si>
  <si>
    <t>For pricing</t>
  </si>
  <si>
    <t>Current basis -&gt;</t>
  </si>
  <si>
    <t>per H/H</t>
  </si>
  <si>
    <t>MWh</t>
  </si>
  <si>
    <t>total rise for everyone</t>
  </si>
  <si>
    <t>peak</t>
  </si>
  <si>
    <t>SA residential scenarios</t>
  </si>
  <si>
    <t>Annual Consumption (kWh/yr)</t>
  </si>
  <si>
    <t>for graph</t>
  </si>
  <si>
    <t>amount purchased from local solar</t>
  </si>
  <si>
    <t>self-consumed solar</t>
  </si>
  <si>
    <t>amount that could be flexible</t>
  </si>
  <si>
    <t>amount allocated to flexible times</t>
  </si>
  <si>
    <t>how many of these homes?</t>
  </si>
  <si>
    <t>tonnes of carbon</t>
  </si>
  <si>
    <t>kWh in next400 hrs</t>
  </si>
  <si>
    <t>repacement basis -&gt;</t>
  </si>
  <si>
    <t>ff MWh</t>
  </si>
  <si>
    <t>fixed costs p.a.</t>
  </si>
  <si>
    <t>c/kWh peak</t>
  </si>
  <si>
    <t>c/kWh ff baseload</t>
  </si>
  <si>
    <t>c/kWh solar</t>
  </si>
  <si>
    <t>c/kWh flex</t>
  </si>
  <si>
    <t>maximum rise</t>
  </si>
  <si>
    <t>TOTAL price signal</t>
  </si>
  <si>
    <t>at risk of disconnection</t>
  </si>
  <si>
    <t>Ordinary costs</t>
  </si>
  <si>
    <t>my volumes (fixed)</t>
  </si>
  <si>
    <t>$/MWh peak 10</t>
  </si>
  <si>
    <t>$/MWh peak 100</t>
  </si>
  <si>
    <t>$/MWh peak 500</t>
  </si>
  <si>
    <t>$/MWh ff baseload</t>
  </si>
  <si>
    <t>$/MWh solar</t>
  </si>
  <si>
    <t>$/MWh flex</t>
  </si>
  <si>
    <t>Residual total</t>
  </si>
  <si>
    <t>Residual - per customer</t>
  </si>
  <si>
    <t>Residual - per kW</t>
  </si>
  <si>
    <t>Residual - per kWh</t>
  </si>
  <si>
    <t>Reference household</t>
  </si>
  <si>
    <t>average solar home</t>
  </si>
  <si>
    <t>average non-solar home</t>
  </si>
  <si>
    <t>average gas home</t>
  </si>
  <si>
    <t>average electric home</t>
  </si>
  <si>
    <t>big gas home</t>
  </si>
  <si>
    <t>big solar home</t>
  </si>
  <si>
    <t>big electric home</t>
  </si>
  <si>
    <t>Efficient Electrify Everything home (based on big home, EV, with solar, no battery)</t>
  </si>
  <si>
    <t>Efficient Electrify Everything home with battery and load flex (reduced grid impact)</t>
  </si>
  <si>
    <t>My original reference household (your tariffs)</t>
  </si>
  <si>
    <t>Your household type 1</t>
  </si>
  <si>
    <t>Your household type 2</t>
  </si>
  <si>
    <t>Graph highlighting the relationship between costs and load factor in my new calculator</t>
  </si>
  <si>
    <t>RE future - surplus wind 46% time and surplus solar 17% so the average home uses local solar at times</t>
  </si>
  <si>
    <t>assuming efficient electrified homes are the norm</t>
  </si>
  <si>
    <t>Total in South Australia</t>
  </si>
  <si>
    <t>Residential customers</t>
  </si>
  <si>
    <t>active households (10% of homes unoccupied)</t>
  </si>
  <si>
    <t>Total residential sector sales GWh</t>
  </si>
  <si>
    <t>Losses attributed to Households</t>
  </si>
  <si>
    <t>pool load factor</t>
  </si>
  <si>
    <t>GWh from the Pool</t>
  </si>
  <si>
    <t>GWh from local solar</t>
  </si>
  <si>
    <t>GWh self-consumed by solar homes</t>
  </si>
  <si>
    <t>kWh/yr per household from grid</t>
  </si>
  <si>
    <t>Residential costs</t>
  </si>
  <si>
    <t>est. wholesale energy costs</t>
  </si>
  <si>
    <t>$/yr per house</t>
  </si>
  <si>
    <t>est. retail costs</t>
  </si>
  <si>
    <t>$m that are collected from unoccupied homes</t>
  </si>
  <si>
    <t>est. network costs - SAPN</t>
  </si>
  <si>
    <t>est. network costs - Electranet</t>
  </si>
  <si>
    <t>est. govt. schemes costs (REES, PVfit, RECs etc)</t>
  </si>
  <si>
    <t>unclear local energy costs because they are only traded by retailers (ie not the pool or the wholesale energy market)</t>
  </si>
  <si>
    <t>Total est residential costs</t>
  </si>
  <si>
    <t>total $/yr per house</t>
  </si>
  <si>
    <t>average $/MWh per active household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</si>
</sst>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quot;$&quot;#,##0;\-&quot;$&quot;#,##0"/>
    <numFmt numFmtId="165" formatCode="_-&quot;$&quot;* #,##0.00_-;\-&quot;$&quot;* #,##0.00_-;_-&quot;$&quot;* &quot;-&quot;??_-;_-@_-"/>
    <numFmt numFmtId="166" formatCode="_-* #,##0.00_-;\-* #,##0.00_-;_-* &quot;-&quot;??_-;_-@_-"/>
    <numFmt numFmtId="167" formatCode="_-* #,##0_-;\-* #,##0_-;_-* &quot;-&quot;??_-;_-@_-"/>
    <numFmt numFmtId="168" formatCode="_-&quot;$&quot;* #,##0_-;\-&quot;$&quot;* #,##0_-;_-&quot;$&quot;* &quot;-&quot;??_-;_-@_-"/>
    <numFmt numFmtId="169" formatCode="0.0%"/>
    <numFmt numFmtId="170" formatCode="_-* #,##0.0_-;\-* #,##0.0_-;_-* &quot;-&quot;??_-;_-@_-"/>
    <numFmt numFmtId="171" formatCode="_-* #,##0.0000_-;\-* #,##0.0000_-;_-* &quot;-&quot;??_-;_-@_-"/>
    <numFmt numFmtId="172" formatCode="_-* #,##0.00000_-;\-* #,##0.00000_-;_-* &quot;-&quot;??_-;_-@_-"/>
    <numFmt numFmtId="173" formatCode="&quot;$&quot;#,##0"/>
  </numFmts>
  <fonts count="56">
    <font>
      <sz val="11"/>
      <color theme="1"/>
      <name val="Aptos Narrow"/>
      <family val="2"/>
      <scheme val="minor"/>
    </font>
    <font>
      <sz val="11"/>
      <color theme="1"/>
      <name val="Aptos Narrow"/>
      <family val="2"/>
      <scheme val="minor"/>
    </font>
    <font>
      <sz val="11"/>
      <color rgb="FFFF0000"/>
      <name val="Aptos Narrow"/>
      <family val="2"/>
      <scheme val="minor"/>
    </font>
    <font>
      <b/>
      <sz val="11"/>
      <color theme="1"/>
      <name val="Aptos Narrow"/>
      <family val="2"/>
      <scheme val="minor"/>
    </font>
    <font>
      <u/>
      <sz val="11"/>
      <color theme="10"/>
      <name val="Aptos Narrow"/>
      <family val="2"/>
      <scheme val="minor"/>
    </font>
    <font>
      <sz val="36"/>
      <color theme="0"/>
      <name val="Varela"/>
    </font>
    <font>
      <sz val="20"/>
      <color theme="0"/>
      <name val="Varela"/>
    </font>
    <font>
      <sz val="11"/>
      <color theme="1"/>
      <name val="Sora"/>
    </font>
    <font>
      <u/>
      <sz val="9"/>
      <color theme="10"/>
      <name val="Sora"/>
    </font>
    <font>
      <u/>
      <sz val="8"/>
      <color theme="10"/>
      <name val="Sora"/>
    </font>
    <font>
      <b/>
      <sz val="11"/>
      <color theme="1"/>
      <name val="Sora"/>
    </font>
    <font>
      <i/>
      <sz val="11"/>
      <color theme="1"/>
      <name val="Sora"/>
    </font>
    <font>
      <sz val="11"/>
      <name val="Sora"/>
    </font>
    <font>
      <sz val="8"/>
      <color theme="1"/>
      <name val="Sora"/>
    </font>
    <font>
      <sz val="11"/>
      <color theme="3"/>
      <name val="Sora"/>
    </font>
    <font>
      <b/>
      <sz val="9"/>
      <color indexed="81"/>
      <name val="Tahoma"/>
      <family val="2"/>
    </font>
    <font>
      <sz val="9"/>
      <color indexed="81"/>
      <name val="Tahoma"/>
      <family val="2"/>
    </font>
    <font>
      <b/>
      <sz val="11"/>
      <name val="Sora"/>
    </font>
    <font>
      <b/>
      <sz val="14"/>
      <color theme="3" tint="-0.499984740745262"/>
      <name val="Sora"/>
    </font>
    <font>
      <b/>
      <sz val="12"/>
      <color theme="3" tint="-0.499984740745262"/>
      <name val="Sora"/>
    </font>
    <font>
      <b/>
      <sz val="8"/>
      <color theme="1"/>
      <name val="Sora"/>
    </font>
    <font>
      <b/>
      <i/>
      <sz val="11"/>
      <color theme="1"/>
      <name val="Sora"/>
    </font>
    <font>
      <sz val="8"/>
      <color rgb="FFFF0000"/>
      <name val="Sora"/>
    </font>
    <font>
      <sz val="9"/>
      <color theme="1"/>
      <name val="Sora"/>
    </font>
    <font>
      <sz val="10"/>
      <color rgb="FF0F5055"/>
      <name val="Sora"/>
    </font>
    <font>
      <i/>
      <sz val="10"/>
      <color rgb="FF0F5055"/>
      <name val="Sora"/>
    </font>
    <font>
      <sz val="8"/>
      <color theme="3"/>
      <name val="Sora"/>
    </font>
    <font>
      <sz val="11"/>
      <color rgb="FF7030A0"/>
      <name val="Sora"/>
    </font>
    <font>
      <i/>
      <sz val="11"/>
      <color theme="1"/>
      <name val="Aptos Narrow"/>
      <family val="2"/>
      <scheme val="minor"/>
    </font>
    <font>
      <sz val="11"/>
      <color theme="9" tint="-0.749992370372631"/>
      <name val="Sora"/>
    </font>
    <font>
      <b/>
      <sz val="14"/>
      <color theme="1"/>
      <name val="Sora"/>
    </font>
    <font>
      <b/>
      <sz val="9"/>
      <color theme="1"/>
      <name val="Sora"/>
    </font>
    <font>
      <b/>
      <sz val="11"/>
      <color rgb="FFFF0000"/>
      <name val="Aptos Narrow"/>
      <family val="2"/>
      <scheme val="minor"/>
    </font>
    <font>
      <sz val="11"/>
      <color theme="4" tint="-0.249977111117893"/>
      <name val="Sora"/>
    </font>
    <font>
      <sz val="9"/>
      <name val="Sora"/>
    </font>
    <font>
      <sz val="9"/>
      <color theme="4" tint="-0.249977111117893"/>
      <name val="Sora"/>
    </font>
    <font>
      <b/>
      <sz val="11"/>
      <color rgb="FF7030A0"/>
      <name val="Aptos Narrow"/>
      <family val="2"/>
      <scheme val="minor"/>
    </font>
    <font>
      <sz val="11"/>
      <color rgb="FF7030A0"/>
      <name val="Aptos Narrow"/>
      <family val="2"/>
      <scheme val="minor"/>
    </font>
    <font>
      <b/>
      <sz val="11"/>
      <color theme="4" tint="-0.499984740745262"/>
      <name val="Aptos Narrow"/>
      <family val="2"/>
      <scheme val="minor"/>
    </font>
    <font>
      <sz val="11"/>
      <color theme="4" tint="-0.499984740745262"/>
      <name val="Aptos Narrow"/>
      <family val="2"/>
      <scheme val="minor"/>
    </font>
    <font>
      <sz val="11"/>
      <color theme="6" tint="-0.499984740745262"/>
      <name val="Aptos Narrow"/>
      <family val="2"/>
      <scheme val="minor"/>
    </font>
    <font>
      <sz val="11"/>
      <color theme="6" tint="0.39997558519241921"/>
      <name val="Sora"/>
    </font>
    <font>
      <sz val="11"/>
      <color rgb="FFFF85FF"/>
      <name val="Sora"/>
    </font>
    <font>
      <sz val="11"/>
      <color rgb="FFB400B4"/>
      <name val="Sora"/>
    </font>
    <font>
      <sz val="11"/>
      <color rgb="FFFFC000"/>
      <name val="Sora"/>
    </font>
    <font>
      <sz val="9"/>
      <color rgb="FFC00000"/>
      <name val="Sora"/>
    </font>
    <font>
      <b/>
      <sz val="11"/>
      <color rgb="FF00B050"/>
      <name val="Aptos Narrow"/>
      <family val="2"/>
      <scheme val="minor"/>
    </font>
    <font>
      <sz val="11"/>
      <color rgb="FF00B050"/>
      <name val="Aptos Narrow"/>
      <family val="2"/>
      <scheme val="minor"/>
    </font>
    <font>
      <sz val="8"/>
      <name val="Aptos Narrow"/>
      <family val="2"/>
      <scheme val="minor"/>
    </font>
    <font>
      <b/>
      <u/>
      <sz val="11"/>
      <name val="Aptos Narrow"/>
      <family val="2"/>
      <scheme val="minor"/>
    </font>
    <font>
      <b/>
      <u/>
      <sz val="11"/>
      <name val="Sora"/>
    </font>
    <font>
      <sz val="10"/>
      <color theme="1"/>
      <name val="Sora"/>
    </font>
    <font>
      <sz val="9"/>
      <color theme="1"/>
      <name val="Aptos Narrow"/>
      <family val="2"/>
      <scheme val="minor"/>
    </font>
    <font>
      <i/>
      <sz val="9"/>
      <color theme="1"/>
      <name val="Sora"/>
    </font>
    <font>
      <b/>
      <sz val="9"/>
      <color theme="1"/>
      <name val="Aptos Narrow"/>
      <family val="2"/>
      <scheme val="minor"/>
    </font>
    <font>
      <i/>
      <u/>
      <sz val="11"/>
      <color theme="10"/>
      <name val="Aptos Narrow"/>
      <family val="2"/>
      <scheme val="minor"/>
    </font>
  </fonts>
  <fills count="21">
    <fill>
      <patternFill patternType="none"/>
    </fill>
    <fill>
      <patternFill patternType="gray125"/>
    </fill>
    <fill>
      <patternFill patternType="solid">
        <fgColor rgb="FF0F5055"/>
        <bgColor indexed="64"/>
      </patternFill>
    </fill>
    <fill>
      <patternFill patternType="solid">
        <fgColor theme="8" tint="-0.249977111117893"/>
        <bgColor indexed="64"/>
      </patternFill>
    </fill>
    <fill>
      <patternFill patternType="solid">
        <fgColor theme="5" tint="0.59999389629810485"/>
        <bgColor indexed="64"/>
      </patternFill>
    </fill>
    <fill>
      <patternFill patternType="solid">
        <fgColor rgb="FF7030A0"/>
        <bgColor indexed="64"/>
      </patternFill>
    </fill>
    <fill>
      <patternFill patternType="solid">
        <fgColor theme="0"/>
        <bgColor indexed="64"/>
      </patternFill>
    </fill>
    <fill>
      <patternFill patternType="solid">
        <fgColor rgb="FF94E6EC"/>
        <bgColor indexed="64"/>
      </patternFill>
    </fill>
    <fill>
      <patternFill patternType="solid">
        <fgColor rgb="FFD8F6F8"/>
        <bgColor indexed="64"/>
      </patternFill>
    </fill>
    <fill>
      <patternFill patternType="solid">
        <fgColor theme="4" tint="0.39997558519241921"/>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9" tint="-0.749992370372631"/>
        <bgColor indexed="64"/>
      </patternFill>
    </fill>
    <fill>
      <patternFill patternType="solid">
        <fgColor theme="6" tint="0.39997558519241921"/>
        <bgColor indexed="64"/>
      </patternFill>
    </fill>
    <fill>
      <patternFill patternType="solid">
        <fgColor theme="9" tint="-9.9978637043366805E-2"/>
        <bgColor indexed="64"/>
      </patternFill>
    </fill>
    <fill>
      <patternFill patternType="solid">
        <fgColor theme="4" tint="-0.249977111117893"/>
        <bgColor indexed="64"/>
      </patternFill>
    </fill>
    <fill>
      <patternFill patternType="solid">
        <fgColor rgb="FFB400B4"/>
        <bgColor indexed="64"/>
      </patternFill>
    </fill>
    <fill>
      <patternFill patternType="solid">
        <fgColor rgb="FFFFC000"/>
        <bgColor indexed="64"/>
      </patternFill>
    </fill>
    <fill>
      <patternFill patternType="solid">
        <fgColor theme="5" tint="-0.249977111117893"/>
        <bgColor indexed="64"/>
      </patternFill>
    </fill>
    <fill>
      <patternFill patternType="solid">
        <fgColor theme="5"/>
        <bgColor indexed="64"/>
      </patternFill>
    </fill>
  </fills>
  <borders count="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000000"/>
      </left>
      <right style="thin">
        <color rgb="FFBFBFBF"/>
      </right>
      <top style="thin">
        <color rgb="FFBFBFBF"/>
      </top>
      <bottom style="thin">
        <color rgb="FFBFBFBF"/>
      </bottom>
      <diagonal/>
    </border>
    <border>
      <left style="thin">
        <color rgb="FFBFBFBF"/>
      </left>
      <right style="thin">
        <color rgb="FFBFBFBF"/>
      </right>
      <top style="thin">
        <color rgb="FFBFBFBF"/>
      </top>
      <bottom style="thin">
        <color rgb="FFBFBFBF"/>
      </bottom>
      <diagonal/>
    </border>
    <border>
      <left style="medium">
        <color indexed="64"/>
      </left>
      <right/>
      <top/>
      <bottom/>
      <diagonal/>
    </border>
  </borders>
  <cellStyleXfs count="5">
    <xf numFmtId="0" fontId="0" fillId="0" borderId="0"/>
    <xf numFmtId="166"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4" fillId="0" borderId="0" applyNumberFormat="0" applyFill="0" applyBorder="0" applyAlignment="0" applyProtection="0"/>
  </cellStyleXfs>
  <cellXfs count="422">
    <xf numFmtId="0" fontId="0" fillId="0" borderId="0" xfId="0"/>
    <xf numFmtId="0" fontId="5" fillId="2" borderId="0" xfId="0" applyFont="1" applyFill="1"/>
    <xf numFmtId="0" fontId="6" fillId="2" borderId="0" xfId="0" applyFont="1" applyFill="1"/>
    <xf numFmtId="0" fontId="7" fillId="3" borderId="0" xfId="0" applyFont="1" applyFill="1"/>
    <xf numFmtId="0" fontId="7" fillId="4" borderId="0" xfId="0" applyFont="1" applyFill="1"/>
    <xf numFmtId="0" fontId="8" fillId="4" borderId="0" xfId="4" applyFont="1" applyFill="1"/>
    <xf numFmtId="0" fontId="9" fillId="4" borderId="0" xfId="4" applyFont="1" applyFill="1"/>
    <xf numFmtId="0" fontId="10" fillId="4" borderId="0" xfId="0" applyFont="1" applyFill="1"/>
    <xf numFmtId="0" fontId="7" fillId="4" borderId="0" xfId="0" applyFont="1" applyFill="1" applyAlignment="1">
      <alignment horizontal="left" indent="1"/>
    </xf>
    <xf numFmtId="0" fontId="7" fillId="4" borderId="0" xfId="0" applyFont="1" applyFill="1" applyAlignment="1">
      <alignment horizontal="left"/>
    </xf>
    <xf numFmtId="0" fontId="7" fillId="4" borderId="0" xfId="0" applyFont="1" applyFill="1" applyAlignment="1">
      <alignment horizontal="right"/>
    </xf>
    <xf numFmtId="0" fontId="7" fillId="4" borderId="0" xfId="0" applyFont="1" applyFill="1" applyAlignment="1">
      <alignment horizontal="left" indent="2"/>
    </xf>
    <xf numFmtId="0" fontId="12" fillId="5" borderId="0" xfId="0" applyFont="1" applyFill="1"/>
    <xf numFmtId="0" fontId="7" fillId="5" borderId="0" xfId="0" applyFont="1" applyFill="1"/>
    <xf numFmtId="0" fontId="7" fillId="5" borderId="0" xfId="0" applyFont="1" applyFill="1" applyAlignment="1">
      <alignment horizontal="center"/>
    </xf>
    <xf numFmtId="0" fontId="7" fillId="6" borderId="0" xfId="0" applyFont="1" applyFill="1"/>
    <xf numFmtId="0" fontId="7" fillId="6" borderId="0" xfId="0" applyFont="1" applyFill="1" applyAlignment="1">
      <alignment horizontal="center"/>
    </xf>
    <xf numFmtId="0" fontId="10" fillId="6" borderId="0" xfId="0" applyFont="1" applyFill="1"/>
    <xf numFmtId="9" fontId="7" fillId="6" borderId="0" xfId="0" applyNumberFormat="1" applyFont="1" applyFill="1"/>
    <xf numFmtId="0" fontId="13" fillId="6" borderId="0" xfId="0" applyFont="1" applyFill="1" applyAlignment="1">
      <alignment horizontal="center" wrapText="1"/>
    </xf>
    <xf numFmtId="0" fontId="12" fillId="5" borderId="0" xfId="0" applyFont="1" applyFill="1" applyAlignment="1">
      <alignment vertical="center"/>
    </xf>
    <xf numFmtId="0" fontId="7" fillId="6" borderId="0" xfId="0" applyFont="1" applyFill="1" applyAlignment="1">
      <alignment vertical="center"/>
    </xf>
    <xf numFmtId="1" fontId="7" fillId="6" borderId="0" xfId="0" applyNumberFormat="1" applyFont="1" applyFill="1" applyAlignment="1">
      <alignment horizontal="center" vertical="center"/>
    </xf>
    <xf numFmtId="166" fontId="7" fillId="6" borderId="0" xfId="1" applyFont="1" applyFill="1" applyAlignment="1">
      <alignment horizontal="center" vertical="center"/>
    </xf>
    <xf numFmtId="9" fontId="7" fillId="6" borderId="0" xfId="3" applyFont="1" applyFill="1" applyAlignment="1">
      <alignment horizontal="center" vertical="center"/>
    </xf>
    <xf numFmtId="9" fontId="7" fillId="6" borderId="0" xfId="0" applyNumberFormat="1" applyFont="1" applyFill="1" applyAlignment="1">
      <alignment vertical="center"/>
    </xf>
    <xf numFmtId="166" fontId="7" fillId="6" borderId="0" xfId="1" applyFont="1" applyFill="1" applyAlignment="1">
      <alignment vertical="center"/>
    </xf>
    <xf numFmtId="166" fontId="7" fillId="6" borderId="0" xfId="0" applyNumberFormat="1" applyFont="1" applyFill="1" applyAlignment="1">
      <alignment vertical="center"/>
    </xf>
    <xf numFmtId="167" fontId="7" fillId="6" borderId="0" xfId="0" applyNumberFormat="1" applyFont="1" applyFill="1" applyAlignment="1">
      <alignment vertical="center"/>
    </xf>
    <xf numFmtId="1" fontId="7" fillId="6" borderId="0" xfId="0" applyNumberFormat="1" applyFont="1" applyFill="1" applyAlignment="1">
      <alignment vertical="center"/>
    </xf>
    <xf numFmtId="0" fontId="7" fillId="6" borderId="0" xfId="0" applyFont="1" applyFill="1" applyAlignment="1">
      <alignment horizontal="center" vertical="center"/>
    </xf>
    <xf numFmtId="0" fontId="7" fillId="6" borderId="0" xfId="0" applyFont="1" applyFill="1" applyAlignment="1">
      <alignment horizontal="left" vertical="center"/>
    </xf>
    <xf numFmtId="166" fontId="7" fillId="6" borderId="0" xfId="0" applyNumberFormat="1" applyFont="1" applyFill="1" applyAlignment="1">
      <alignment horizontal="center" vertical="center"/>
    </xf>
    <xf numFmtId="0" fontId="7" fillId="6" borderId="0" xfId="0" applyFont="1" applyFill="1" applyAlignment="1">
      <alignment vertical="center" wrapText="1"/>
    </xf>
    <xf numFmtId="1" fontId="7" fillId="6" borderId="0" xfId="0" applyNumberFormat="1" applyFont="1" applyFill="1" applyAlignment="1">
      <alignment horizontal="center"/>
    </xf>
    <xf numFmtId="3" fontId="7" fillId="6" borderId="0" xfId="0" applyNumberFormat="1" applyFont="1" applyFill="1" applyAlignment="1">
      <alignment horizontal="center"/>
    </xf>
    <xf numFmtId="0" fontId="7" fillId="6" borderId="0" xfId="0" applyFont="1" applyFill="1" applyAlignment="1">
      <alignment horizontal="left"/>
    </xf>
    <xf numFmtId="167" fontId="7" fillId="6" borderId="0" xfId="1" applyNumberFormat="1" applyFont="1" applyFill="1" applyAlignment="1">
      <alignment horizontal="center"/>
    </xf>
    <xf numFmtId="167" fontId="7" fillId="6" borderId="0" xfId="0" applyNumberFormat="1" applyFont="1" applyFill="1" applyAlignment="1">
      <alignment horizontal="center"/>
    </xf>
    <xf numFmtId="0" fontId="7" fillId="6" borderId="0" xfId="0" applyFont="1" applyFill="1" applyAlignment="1">
      <alignment horizontal="right"/>
    </xf>
    <xf numFmtId="9" fontId="7" fillId="6" borderId="0" xfId="3" applyFont="1" applyFill="1" applyAlignment="1">
      <alignment horizontal="center"/>
    </xf>
    <xf numFmtId="166" fontId="7" fillId="6" borderId="0" xfId="1" applyFont="1" applyFill="1" applyAlignment="1">
      <alignment horizontal="center"/>
    </xf>
    <xf numFmtId="1" fontId="7" fillId="6" borderId="0" xfId="0" applyNumberFormat="1" applyFont="1" applyFill="1" applyAlignment="1">
      <alignment horizontal="right"/>
    </xf>
    <xf numFmtId="168" fontId="7" fillId="6" borderId="0" xfId="2" applyNumberFormat="1" applyFont="1" applyFill="1" applyAlignment="1">
      <alignment horizontal="center"/>
    </xf>
    <xf numFmtId="166" fontId="7" fillId="6" borderId="0" xfId="0" applyNumberFormat="1" applyFont="1" applyFill="1"/>
    <xf numFmtId="167" fontId="7" fillId="6" borderId="0" xfId="0" applyNumberFormat="1" applyFont="1" applyFill="1"/>
    <xf numFmtId="168" fontId="14" fillId="6" borderId="0" xfId="0" applyNumberFormat="1" applyFont="1" applyFill="1"/>
    <xf numFmtId="0" fontId="14" fillId="6" borderId="0" xfId="0" applyFont="1" applyFill="1"/>
    <xf numFmtId="0" fontId="10" fillId="6" borderId="0" xfId="0" applyFont="1" applyFill="1" applyAlignment="1">
      <alignment horizontal="right"/>
    </xf>
    <xf numFmtId="1" fontId="10" fillId="6" borderId="0" xfId="0" applyNumberFormat="1" applyFont="1" applyFill="1" applyAlignment="1">
      <alignment horizontal="center"/>
    </xf>
    <xf numFmtId="0" fontId="10" fillId="6" borderId="0" xfId="0" applyFont="1" applyFill="1" applyAlignment="1">
      <alignment horizontal="left"/>
    </xf>
    <xf numFmtId="168" fontId="7" fillId="6" borderId="0" xfId="0" applyNumberFormat="1" applyFont="1" applyFill="1" applyAlignment="1">
      <alignment horizontal="center"/>
    </xf>
    <xf numFmtId="0" fontId="11" fillId="4" borderId="0" xfId="0" applyFont="1" applyFill="1"/>
    <xf numFmtId="0" fontId="7" fillId="2" borderId="0" xfId="0" applyFont="1" applyFill="1"/>
    <xf numFmtId="0" fontId="7" fillId="2" borderId="0" xfId="0" applyFont="1" applyFill="1" applyAlignment="1">
      <alignment wrapText="1"/>
    </xf>
    <xf numFmtId="0" fontId="18" fillId="6" borderId="0" xfId="0" applyFont="1" applyFill="1"/>
    <xf numFmtId="0" fontId="7" fillId="6" borderId="0" xfId="0" applyFont="1" applyFill="1" applyAlignment="1">
      <alignment wrapText="1"/>
    </xf>
    <xf numFmtId="0" fontId="10" fillId="7" borderId="0" xfId="0" applyFont="1" applyFill="1"/>
    <xf numFmtId="0" fontId="10" fillId="7" borderId="0" xfId="0" applyFont="1" applyFill="1" applyAlignment="1">
      <alignment horizontal="right"/>
    </xf>
    <xf numFmtId="0" fontId="10" fillId="7" borderId="0" xfId="0" applyFont="1" applyFill="1" applyAlignment="1">
      <alignment horizontal="right" wrapText="1"/>
    </xf>
    <xf numFmtId="0" fontId="21" fillId="7" borderId="0" xfId="0" applyFont="1" applyFill="1" applyAlignment="1">
      <alignment horizontal="right"/>
    </xf>
    <xf numFmtId="0" fontId="10" fillId="7" borderId="0" xfId="0" applyFont="1" applyFill="1" applyAlignment="1">
      <alignment wrapText="1"/>
    </xf>
    <xf numFmtId="0" fontId="10" fillId="8" borderId="0" xfId="0" applyFont="1" applyFill="1" applyAlignment="1">
      <alignment vertical="center"/>
    </xf>
    <xf numFmtId="0" fontId="10" fillId="9" borderId="1" xfId="0" applyFont="1" applyFill="1" applyBorder="1"/>
    <xf numFmtId="168" fontId="10" fillId="8" borderId="0" xfId="2" applyNumberFormat="1" applyFont="1" applyFill="1" applyAlignment="1">
      <alignment vertical="center"/>
    </xf>
    <xf numFmtId="0" fontId="10" fillId="8" borderId="0" xfId="0" applyFont="1" applyFill="1" applyAlignment="1">
      <alignment vertical="center" wrapText="1"/>
    </xf>
    <xf numFmtId="168" fontId="21" fillId="9" borderId="2" xfId="0" applyNumberFormat="1" applyFont="1" applyFill="1" applyBorder="1" applyAlignment="1">
      <alignment vertical="center" wrapText="1"/>
    </xf>
    <xf numFmtId="0" fontId="10" fillId="9" borderId="3" xfId="0" applyFont="1" applyFill="1" applyBorder="1" applyAlignment="1">
      <alignment vertical="center" wrapText="1"/>
    </xf>
    <xf numFmtId="0" fontId="13" fillId="8" borderId="0" xfId="0" applyFont="1" applyFill="1" applyAlignment="1">
      <alignment wrapText="1"/>
    </xf>
    <xf numFmtId="0" fontId="7" fillId="6" borderId="0" xfId="0" applyFont="1" applyFill="1" applyAlignment="1">
      <alignment horizontal="right" vertical="center"/>
    </xf>
    <xf numFmtId="168" fontId="10" fillId="6" borderId="0" xfId="2" applyNumberFormat="1" applyFont="1" applyFill="1"/>
    <xf numFmtId="0" fontId="10" fillId="6" borderId="0" xfId="0" applyFont="1" applyFill="1" applyAlignment="1">
      <alignment wrapText="1"/>
    </xf>
    <xf numFmtId="168" fontId="21" fillId="6" borderId="0" xfId="0" applyNumberFormat="1" applyFont="1" applyFill="1" applyAlignment="1">
      <alignment wrapText="1"/>
    </xf>
    <xf numFmtId="0" fontId="13" fillId="6" borderId="0" xfId="0" applyFont="1" applyFill="1" applyAlignment="1">
      <alignment wrapText="1"/>
    </xf>
    <xf numFmtId="0" fontId="7" fillId="8" borderId="0" xfId="0" applyFont="1" applyFill="1" applyAlignment="1">
      <alignment horizontal="right" vertical="center"/>
    </xf>
    <xf numFmtId="168" fontId="10" fillId="8" borderId="0" xfId="2" applyNumberFormat="1" applyFont="1" applyFill="1"/>
    <xf numFmtId="0" fontId="10" fillId="8" borderId="0" xfId="0" applyFont="1" applyFill="1" applyAlignment="1">
      <alignment wrapText="1"/>
    </xf>
    <xf numFmtId="168" fontId="21" fillId="8" borderId="0" xfId="0" applyNumberFormat="1" applyFont="1" applyFill="1" applyAlignment="1">
      <alignment wrapText="1"/>
    </xf>
    <xf numFmtId="0" fontId="21" fillId="7" borderId="0" xfId="0" applyFont="1" applyFill="1" applyAlignment="1">
      <alignment horizontal="right" wrapText="1"/>
    </xf>
    <xf numFmtId="0" fontId="7" fillId="2" borderId="0" xfId="0" applyFont="1" applyFill="1" applyAlignment="1">
      <alignment vertical="center"/>
    </xf>
    <xf numFmtId="0" fontId="7" fillId="8" borderId="0" xfId="0" applyFont="1" applyFill="1" applyAlignment="1">
      <alignment vertical="center"/>
    </xf>
    <xf numFmtId="167" fontId="7" fillId="8" borderId="0" xfId="0" applyNumberFormat="1" applyFont="1" applyFill="1" applyAlignment="1">
      <alignment vertical="center"/>
    </xf>
    <xf numFmtId="0" fontId="7" fillId="8" borderId="0" xfId="0" applyFont="1" applyFill="1" applyAlignment="1">
      <alignment horizontal="left" vertical="center"/>
    </xf>
    <xf numFmtId="0" fontId="22" fillId="8" borderId="0" xfId="0" applyFont="1" applyFill="1" applyAlignment="1">
      <alignment vertical="center" wrapText="1"/>
    </xf>
    <xf numFmtId="167" fontId="7" fillId="6" borderId="0" xfId="1" applyNumberFormat="1" applyFont="1" applyFill="1" applyAlignment="1">
      <alignment vertical="center"/>
    </xf>
    <xf numFmtId="0" fontId="13" fillId="6" borderId="0" xfId="0" applyFont="1" applyFill="1" applyAlignment="1">
      <alignment vertical="center" wrapText="1"/>
    </xf>
    <xf numFmtId="0" fontId="13" fillId="8" borderId="0" xfId="0" applyFont="1" applyFill="1" applyAlignment="1">
      <alignment vertical="center" wrapText="1"/>
    </xf>
    <xf numFmtId="168" fontId="7" fillId="8" borderId="0" xfId="2" applyNumberFormat="1" applyFont="1" applyFill="1" applyAlignment="1">
      <alignment vertical="center"/>
    </xf>
    <xf numFmtId="0" fontId="11" fillId="8" borderId="0" xfId="0" applyFont="1" applyFill="1" applyAlignment="1">
      <alignment vertical="center"/>
    </xf>
    <xf numFmtId="0" fontId="10" fillId="6" borderId="0" xfId="0" applyFont="1" applyFill="1" applyAlignment="1">
      <alignment horizontal="left" vertical="center" indent="1"/>
    </xf>
    <xf numFmtId="0" fontId="11" fillId="6" borderId="0" xfId="0" applyFont="1" applyFill="1" applyAlignment="1">
      <alignment vertical="center"/>
    </xf>
    <xf numFmtId="0" fontId="23" fillId="8" borderId="0" xfId="0" applyFont="1" applyFill="1" applyAlignment="1">
      <alignment horizontal="left" vertical="center" indent="1"/>
    </xf>
    <xf numFmtId="168" fontId="23" fillId="8" borderId="0" xfId="0" applyNumberFormat="1" applyFont="1" applyFill="1" applyAlignment="1">
      <alignment vertical="center"/>
    </xf>
    <xf numFmtId="0" fontId="23" fillId="8" borderId="0" xfId="0" applyFont="1" applyFill="1" applyAlignment="1">
      <alignment vertical="center"/>
    </xf>
    <xf numFmtId="0" fontId="23" fillId="6" borderId="0" xfId="0" applyFont="1" applyFill="1" applyAlignment="1">
      <alignment horizontal="left" vertical="center" indent="1"/>
    </xf>
    <xf numFmtId="168" fontId="23" fillId="6" borderId="0" xfId="0" applyNumberFormat="1" applyFont="1" applyFill="1" applyAlignment="1">
      <alignment vertical="center"/>
    </xf>
    <xf numFmtId="0" fontId="23" fillId="6" borderId="0" xfId="0" applyFont="1" applyFill="1" applyAlignment="1">
      <alignment vertical="center"/>
    </xf>
    <xf numFmtId="1" fontId="11" fillId="8" borderId="0" xfId="0" applyNumberFormat="1" applyFont="1" applyFill="1" applyAlignment="1">
      <alignment vertical="center"/>
    </xf>
    <xf numFmtId="168" fontId="7" fillId="6" borderId="0" xfId="2" applyNumberFormat="1" applyFont="1" applyFill="1" applyAlignment="1">
      <alignment vertical="center"/>
    </xf>
    <xf numFmtId="0" fontId="24" fillId="6" borderId="0" xfId="0" applyFont="1" applyFill="1" applyAlignment="1">
      <alignment vertical="center"/>
    </xf>
    <xf numFmtId="1" fontId="25" fillId="6" borderId="0" xfId="0" applyNumberFormat="1" applyFont="1" applyFill="1" applyAlignment="1">
      <alignment vertical="center"/>
    </xf>
    <xf numFmtId="0" fontId="26" fillId="6" borderId="0" xfId="0" applyFont="1" applyFill="1" applyAlignment="1">
      <alignment vertical="center" wrapText="1"/>
    </xf>
    <xf numFmtId="0" fontId="22" fillId="6" borderId="0" xfId="0" applyFont="1" applyFill="1" applyAlignment="1">
      <alignment vertical="center" wrapText="1"/>
    </xf>
    <xf numFmtId="0" fontId="7" fillId="6" borderId="0" xfId="0" applyFont="1" applyFill="1" applyAlignment="1">
      <alignment horizontal="center" vertical="center" wrapText="1"/>
    </xf>
    <xf numFmtId="165" fontId="7" fillId="6" borderId="0" xfId="2" applyFont="1" applyFill="1" applyAlignment="1">
      <alignment horizontal="center" vertical="center" wrapText="1"/>
    </xf>
    <xf numFmtId="168" fontId="7" fillId="6" borderId="0" xfId="2" applyNumberFormat="1" applyFont="1" applyFill="1"/>
    <xf numFmtId="0" fontId="11" fillId="6" borderId="0" xfId="0" applyFont="1" applyFill="1"/>
    <xf numFmtId="165" fontId="7" fillId="6" borderId="0" xfId="2" applyFont="1" applyFill="1" applyAlignment="1">
      <alignment vertical="center" wrapText="1"/>
    </xf>
    <xf numFmtId="165" fontId="7" fillId="6" borderId="0" xfId="2" applyFont="1" applyFill="1" applyAlignment="1">
      <alignment wrapText="1"/>
    </xf>
    <xf numFmtId="0" fontId="18" fillId="6" borderId="0" xfId="0" applyFont="1" applyFill="1" applyAlignment="1">
      <alignment vertical="center"/>
    </xf>
    <xf numFmtId="0" fontId="7" fillId="6" borderId="0" xfId="0" applyFont="1" applyFill="1" applyAlignment="1">
      <alignment horizontal="left" indent="1"/>
    </xf>
    <xf numFmtId="0" fontId="20" fillId="7" borderId="0" xfId="0" applyFont="1" applyFill="1" applyAlignment="1">
      <alignment horizontal="right"/>
    </xf>
    <xf numFmtId="0" fontId="3" fillId="0" borderId="0" xfId="0" applyFont="1"/>
    <xf numFmtId="166" fontId="3" fillId="0" borderId="0" xfId="0" applyNumberFormat="1" applyFont="1"/>
    <xf numFmtId="167" fontId="0" fillId="0" borderId="0" xfId="1" applyNumberFormat="1" applyFont="1"/>
    <xf numFmtId="166" fontId="0" fillId="0" borderId="0" xfId="0" applyNumberFormat="1"/>
    <xf numFmtId="167" fontId="0" fillId="0" borderId="0" xfId="0" applyNumberFormat="1"/>
    <xf numFmtId="9" fontId="0" fillId="0" borderId="0" xfId="3" applyFont="1"/>
    <xf numFmtId="165" fontId="0" fillId="0" borderId="0" xfId="0" applyNumberFormat="1"/>
    <xf numFmtId="165" fontId="0" fillId="0" borderId="0" xfId="2" applyFont="1"/>
    <xf numFmtId="169" fontId="0" fillId="0" borderId="0" xfId="0" applyNumberFormat="1"/>
    <xf numFmtId="0" fontId="10" fillId="0" borderId="0" xfId="0" applyFont="1" applyAlignment="1">
      <alignment horizontal="left"/>
    </xf>
    <xf numFmtId="166" fontId="0" fillId="0" borderId="0" xfId="1" applyFont="1"/>
    <xf numFmtId="170" fontId="0" fillId="0" borderId="0" xfId="1" applyNumberFormat="1" applyFont="1"/>
    <xf numFmtId="168" fontId="0" fillId="0" borderId="0" xfId="2" applyNumberFormat="1" applyFont="1"/>
    <xf numFmtId="0" fontId="27" fillId="5" borderId="0" xfId="0" applyFont="1" applyFill="1"/>
    <xf numFmtId="0" fontId="10" fillId="6" borderId="0" xfId="0" applyFont="1" applyFill="1" applyAlignment="1">
      <alignment horizontal="center"/>
    </xf>
    <xf numFmtId="0" fontId="10" fillId="6" borderId="0" xfId="0" applyFont="1" applyFill="1" applyAlignment="1">
      <alignment vertical="center"/>
    </xf>
    <xf numFmtId="0" fontId="27" fillId="5" borderId="0" xfId="0" applyFont="1" applyFill="1" applyAlignment="1">
      <alignment vertical="center"/>
    </xf>
    <xf numFmtId="0" fontId="7" fillId="6" borderId="0" xfId="0" applyFont="1" applyFill="1" applyAlignment="1">
      <alignment horizontal="left" wrapText="1"/>
    </xf>
    <xf numFmtId="166" fontId="7" fillId="6" borderId="0" xfId="1" applyFont="1" applyFill="1" applyAlignment="1">
      <alignment horizontal="center" vertical="center"/>
      <extLst>
        <ext xmlns:xfpb="http://schemas.microsoft.com/office/spreadsheetml/2022/featurepropertybag" uri="{C7286773-470A-42A8-94C5-96B5CB345126}">
          <xfpb:xfComplement i="0"/>
        </ext>
      </extLst>
    </xf>
    <xf numFmtId="2" fontId="7" fillId="6" borderId="0" xfId="0" applyNumberFormat="1" applyFont="1" applyFill="1" applyAlignment="1">
      <alignment horizontal="center" vertical="center"/>
    </xf>
    <xf numFmtId="2" fontId="7" fillId="9" borderId="1" xfId="0" applyNumberFormat="1" applyFont="1" applyFill="1" applyBorder="1" applyAlignment="1">
      <alignment horizontal="center" vertical="center" wrapText="1"/>
    </xf>
    <xf numFmtId="1" fontId="7" fillId="6" borderId="0" xfId="0" applyNumberFormat="1" applyFont="1" applyFill="1" applyAlignment="1">
      <alignment horizontal="left" vertical="center"/>
    </xf>
    <xf numFmtId="1" fontId="7" fillId="9" borderId="1" xfId="0" applyNumberFormat="1" applyFont="1" applyFill="1" applyBorder="1" applyAlignment="1">
      <alignment horizontal="center" vertical="center" wrapText="1"/>
    </xf>
    <xf numFmtId="9" fontId="7" fillId="9" borderId="1" xfId="3" applyFont="1" applyFill="1" applyBorder="1" applyAlignment="1">
      <alignment horizontal="center" vertical="center" wrapText="1"/>
    </xf>
    <xf numFmtId="0" fontId="13" fillId="6" borderId="0" xfId="0" applyFont="1" applyFill="1" applyAlignment="1">
      <alignment vertical="center"/>
    </xf>
    <xf numFmtId="167" fontId="7" fillId="9" borderId="1" xfId="1" applyNumberFormat="1" applyFont="1" applyFill="1" applyBorder="1" applyAlignment="1">
      <alignment horizontal="center"/>
    </xf>
    <xf numFmtId="167" fontId="7" fillId="6" borderId="0" xfId="0" applyNumberFormat="1" applyFont="1" applyFill="1" applyAlignment="1">
      <alignment horizontal="right"/>
    </xf>
    <xf numFmtId="168" fontId="7" fillId="6" borderId="0" xfId="2" applyNumberFormat="1" applyFont="1" applyFill="1" applyAlignment="1">
      <alignment horizontal="right"/>
    </xf>
    <xf numFmtId="1" fontId="7" fillId="9" borderId="1" xfId="1" applyNumberFormat="1" applyFont="1" applyFill="1" applyBorder="1" applyAlignment="1">
      <alignment horizontal="center" vertical="center" wrapText="1"/>
    </xf>
    <xf numFmtId="0" fontId="7" fillId="0" borderId="0" xfId="0" applyFont="1"/>
    <xf numFmtId="167" fontId="7" fillId="0" borderId="0" xfId="1" applyNumberFormat="1" applyFont="1"/>
    <xf numFmtId="0" fontId="3" fillId="0" borderId="0" xfId="0" applyFont="1" applyAlignment="1">
      <alignment horizontal="center"/>
    </xf>
    <xf numFmtId="9" fontId="0" fillId="0" borderId="0" xfId="3" applyFont="1" applyAlignment="1">
      <alignment horizontal="center"/>
    </xf>
    <xf numFmtId="0" fontId="0" fillId="0" borderId="4" xfId="0" applyBorder="1" applyAlignment="1">
      <alignment horizontal="left" vertical="center"/>
    </xf>
    <xf numFmtId="0" fontId="0" fillId="0" borderId="5" xfId="0" applyBorder="1" applyAlignment="1">
      <alignment horizontal="center" vertical="center" wrapText="1"/>
    </xf>
    <xf numFmtId="0" fontId="0" fillId="10" borderId="0" xfId="0" applyFill="1"/>
    <xf numFmtId="166" fontId="0" fillId="10" borderId="0" xfId="0" applyNumberFormat="1" applyFill="1"/>
    <xf numFmtId="0" fontId="10" fillId="0" borderId="0" xfId="0" applyFont="1"/>
    <xf numFmtId="0" fontId="0" fillId="9" borderId="0" xfId="0" applyFill="1" applyAlignment="1">
      <alignment horizontal="center"/>
    </xf>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center"/>
    </xf>
    <xf numFmtId="166" fontId="0" fillId="0" borderId="0" xfId="1" applyFont="1" applyAlignment="1">
      <alignment horizontal="center"/>
    </xf>
    <xf numFmtId="1" fontId="0" fillId="0" borderId="0" xfId="0" applyNumberFormat="1"/>
    <xf numFmtId="0" fontId="28" fillId="0" borderId="0" xfId="0" applyFont="1"/>
    <xf numFmtId="0" fontId="28" fillId="0" borderId="0" xfId="0" applyFont="1" applyAlignment="1">
      <alignment horizontal="left"/>
    </xf>
    <xf numFmtId="0" fontId="3" fillId="11" borderId="0" xfId="0" applyFont="1" applyFill="1"/>
    <xf numFmtId="0" fontId="0" fillId="11" borderId="0" xfId="0" applyFill="1"/>
    <xf numFmtId="0" fontId="0" fillId="11" borderId="0" xfId="0" applyFill="1" applyAlignment="1">
      <alignment horizontal="center"/>
    </xf>
    <xf numFmtId="0" fontId="7" fillId="11" borderId="0" xfId="0" applyFont="1" applyFill="1" applyAlignment="1">
      <alignment horizontal="center"/>
    </xf>
    <xf numFmtId="0" fontId="7" fillId="11" borderId="0" xfId="0" applyFont="1" applyFill="1" applyAlignment="1">
      <alignment horizontal="left"/>
    </xf>
    <xf numFmtId="0" fontId="0" fillId="11" borderId="0" xfId="0" applyFill="1" applyAlignment="1">
      <alignment horizontal="left"/>
    </xf>
    <xf numFmtId="0" fontId="2" fillId="0" borderId="0" xfId="0" applyFont="1"/>
    <xf numFmtId="165" fontId="0" fillId="12" borderId="0" xfId="2" applyFont="1" applyFill="1"/>
    <xf numFmtId="0" fontId="12" fillId="13" borderId="0" xfId="0" applyFont="1" applyFill="1"/>
    <xf numFmtId="0" fontId="7" fillId="13" borderId="0" xfId="0" applyFont="1" applyFill="1"/>
    <xf numFmtId="0" fontId="7" fillId="13" borderId="0" xfId="0" applyFont="1" applyFill="1" applyAlignment="1">
      <alignment horizontal="center"/>
    </xf>
    <xf numFmtId="0" fontId="12" fillId="13" borderId="0" xfId="0" applyFont="1" applyFill="1" applyAlignment="1">
      <alignment vertical="center"/>
    </xf>
    <xf numFmtId="0" fontId="29" fillId="13" borderId="0" xfId="0" applyFont="1" applyFill="1"/>
    <xf numFmtId="0" fontId="29" fillId="13" borderId="0" xfId="0" applyFont="1" applyFill="1" applyAlignment="1">
      <alignment vertical="center"/>
    </xf>
    <xf numFmtId="0" fontId="10" fillId="6" borderId="0" xfId="0" applyFont="1" applyFill="1" applyAlignment="1">
      <alignment vertical="center" wrapText="1"/>
    </xf>
    <xf numFmtId="0" fontId="23" fillId="6" borderId="0" xfId="0" applyFont="1" applyFill="1" applyAlignment="1">
      <alignment horizontal="left" wrapText="1"/>
    </xf>
    <xf numFmtId="1" fontId="23" fillId="6" borderId="0" xfId="0" applyNumberFormat="1" applyFont="1" applyFill="1" applyAlignment="1">
      <alignment horizontal="center" vertical="center"/>
    </xf>
    <xf numFmtId="0" fontId="10" fillId="6" borderId="0" xfId="0" applyFont="1" applyFill="1" applyAlignment="1">
      <alignment horizontal="left" wrapText="1"/>
    </xf>
    <xf numFmtId="1" fontId="10" fillId="6" borderId="0" xfId="0" applyNumberFormat="1" applyFont="1" applyFill="1" applyAlignment="1">
      <alignment horizontal="center" vertical="center"/>
    </xf>
    <xf numFmtId="0" fontId="13" fillId="6" borderId="0" xfId="0" applyFont="1" applyFill="1" applyAlignment="1">
      <alignment horizontal="center" vertical="center" wrapText="1"/>
    </xf>
    <xf numFmtId="0" fontId="7" fillId="13" borderId="0" xfId="0" applyFont="1" applyFill="1" applyAlignment="1">
      <alignment horizontal="left"/>
    </xf>
    <xf numFmtId="0" fontId="13" fillId="6" borderId="0" xfId="0" applyFont="1" applyFill="1" applyAlignment="1">
      <alignment horizontal="left" wrapText="1"/>
    </xf>
    <xf numFmtId="1" fontId="13" fillId="6" borderId="0" xfId="0" applyNumberFormat="1" applyFont="1" applyFill="1" applyAlignment="1">
      <alignment horizontal="left" vertical="center" wrapText="1"/>
    </xf>
    <xf numFmtId="0" fontId="13" fillId="6" borderId="0" xfId="0" applyFont="1" applyFill="1" applyAlignment="1">
      <alignment horizontal="left" vertical="center" wrapText="1"/>
    </xf>
    <xf numFmtId="0" fontId="26" fillId="6" borderId="0" xfId="0" applyFont="1" applyFill="1" applyAlignment="1">
      <alignment horizontal="left" wrapText="1"/>
    </xf>
    <xf numFmtId="0" fontId="30" fillId="6" borderId="0" xfId="0" applyFont="1" applyFill="1" applyAlignment="1">
      <alignment vertical="center"/>
    </xf>
    <xf numFmtId="2" fontId="7" fillId="6" borderId="0" xfId="0" applyNumberFormat="1" applyFont="1" applyFill="1" applyAlignment="1">
      <alignment horizontal="center" vertical="center" wrapText="1"/>
    </xf>
    <xf numFmtId="1" fontId="7" fillId="14" borderId="1" xfId="1" applyNumberFormat="1" applyFont="1" applyFill="1" applyBorder="1" applyAlignment="1">
      <alignment horizontal="center" vertical="center" wrapText="1"/>
    </xf>
    <xf numFmtId="168" fontId="10" fillId="6" borderId="0" xfId="2" applyNumberFormat="1" applyFont="1" applyFill="1" applyAlignment="1">
      <alignment horizontal="center" vertical="center"/>
    </xf>
    <xf numFmtId="166" fontId="23" fillId="6" borderId="0" xfId="0" applyNumberFormat="1" applyFont="1" applyFill="1" applyAlignment="1">
      <alignment horizontal="center" vertical="center"/>
    </xf>
    <xf numFmtId="166" fontId="23" fillId="6" borderId="0" xfId="1" applyFont="1" applyFill="1" applyAlignment="1">
      <alignment horizontal="center" vertical="center"/>
    </xf>
    <xf numFmtId="9" fontId="7" fillId="6" borderId="0" xfId="3" applyFont="1" applyFill="1" applyBorder="1" applyAlignment="1">
      <alignment horizontal="center" vertical="center" wrapText="1"/>
    </xf>
    <xf numFmtId="168" fontId="7" fillId="6" borderId="0" xfId="2" applyNumberFormat="1" applyFont="1" applyFill="1" applyBorder="1" applyAlignment="1">
      <alignment horizontal="center"/>
    </xf>
    <xf numFmtId="9" fontId="7" fillId="6" borderId="0" xfId="3" applyFont="1" applyFill="1" applyBorder="1" applyAlignment="1">
      <alignment horizontal="center"/>
    </xf>
    <xf numFmtId="0" fontId="23" fillId="6" borderId="0" xfId="0" applyFont="1" applyFill="1"/>
    <xf numFmtId="1" fontId="31" fillId="6" borderId="0" xfId="0" applyNumberFormat="1" applyFont="1" applyFill="1" applyAlignment="1">
      <alignment horizontal="center" vertical="center"/>
    </xf>
    <xf numFmtId="1" fontId="7" fillId="14" borderId="1" xfId="0" applyNumberFormat="1" applyFont="1" applyFill="1" applyBorder="1" applyAlignment="1">
      <alignment horizontal="center" vertical="center"/>
    </xf>
    <xf numFmtId="0" fontId="0" fillId="15" borderId="0" xfId="0" applyFill="1"/>
    <xf numFmtId="0" fontId="23" fillId="6" borderId="0" xfId="0" applyFont="1" applyFill="1" applyAlignment="1">
      <alignment horizontal="center"/>
    </xf>
    <xf numFmtId="1" fontId="23" fillId="6" borderId="0" xfId="0" applyNumberFormat="1" applyFont="1" applyFill="1" applyAlignment="1">
      <alignment horizontal="left" vertical="center"/>
    </xf>
    <xf numFmtId="165" fontId="7" fillId="6" borderId="0" xfId="0" applyNumberFormat="1" applyFont="1" applyFill="1" applyAlignment="1">
      <alignment horizontal="center"/>
    </xf>
    <xf numFmtId="166" fontId="0" fillId="15" borderId="0" xfId="1" applyFont="1" applyFill="1"/>
    <xf numFmtId="0" fontId="10" fillId="6" borderId="0" xfId="0" applyFont="1" applyFill="1" applyAlignment="1">
      <alignment horizontal="left" vertical="center"/>
    </xf>
    <xf numFmtId="168" fontId="23" fillId="6" borderId="0" xfId="3" applyNumberFormat="1" applyFont="1" applyFill="1" applyBorder="1" applyAlignment="1">
      <alignment horizontal="center" vertical="center"/>
    </xf>
    <xf numFmtId="166" fontId="13" fillId="6" borderId="0" xfId="0" applyNumberFormat="1" applyFont="1" applyFill="1" applyAlignment="1">
      <alignment horizontal="left" vertical="center" wrapText="1"/>
    </xf>
    <xf numFmtId="0" fontId="23" fillId="15" borderId="0" xfId="0" applyFont="1" applyFill="1" applyAlignment="1">
      <alignment vertical="center"/>
    </xf>
    <xf numFmtId="0" fontId="23" fillId="15" borderId="0" xfId="0" applyFont="1" applyFill="1" applyAlignment="1">
      <alignment horizontal="left" wrapText="1"/>
    </xf>
    <xf numFmtId="1" fontId="23" fillId="15" borderId="0" xfId="0" applyNumberFormat="1" applyFont="1" applyFill="1" applyAlignment="1">
      <alignment horizontal="center" vertical="center"/>
    </xf>
    <xf numFmtId="166" fontId="7" fillId="15" borderId="0" xfId="0" applyNumberFormat="1" applyFont="1" applyFill="1" applyAlignment="1">
      <alignment horizontal="center" vertical="center"/>
    </xf>
    <xf numFmtId="166" fontId="7" fillId="15" borderId="0" xfId="1" applyFont="1" applyFill="1" applyAlignment="1">
      <alignment horizontal="center" vertical="center"/>
    </xf>
    <xf numFmtId="1" fontId="7" fillId="15" borderId="0" xfId="0" applyNumberFormat="1" applyFont="1" applyFill="1" applyAlignment="1">
      <alignment horizontal="center" vertical="center"/>
    </xf>
    <xf numFmtId="1" fontId="13" fillId="15" borderId="0" xfId="0" applyNumberFormat="1" applyFont="1" applyFill="1" applyAlignment="1">
      <alignment horizontal="left" vertical="center" wrapText="1"/>
    </xf>
    <xf numFmtId="2" fontId="7" fillId="15" borderId="0" xfId="0" applyNumberFormat="1" applyFont="1" applyFill="1" applyAlignment="1">
      <alignment horizontal="center" vertical="center"/>
    </xf>
    <xf numFmtId="0" fontId="7" fillId="15" borderId="0" xfId="0" applyFont="1" applyFill="1"/>
    <xf numFmtId="166" fontId="23" fillId="15" borderId="0" xfId="0" applyNumberFormat="1" applyFont="1" applyFill="1" applyAlignment="1">
      <alignment horizontal="center" vertical="center"/>
    </xf>
    <xf numFmtId="166" fontId="23" fillId="15" borderId="0" xfId="1" applyFont="1" applyFill="1" applyAlignment="1">
      <alignment horizontal="center" vertical="center"/>
    </xf>
    <xf numFmtId="1" fontId="31" fillId="15" borderId="0" xfId="0" applyNumberFormat="1" applyFont="1" applyFill="1" applyAlignment="1">
      <alignment horizontal="center" vertical="center"/>
    </xf>
    <xf numFmtId="0" fontId="7" fillId="15" borderId="0" xfId="0" applyFont="1" applyFill="1" applyAlignment="1">
      <alignment horizontal="center"/>
    </xf>
    <xf numFmtId="1" fontId="10" fillId="15" borderId="0" xfId="0" applyNumberFormat="1" applyFont="1" applyFill="1" applyAlignment="1">
      <alignment horizontal="center" vertical="center"/>
    </xf>
    <xf numFmtId="1" fontId="13" fillId="15" borderId="0" xfId="0" applyNumberFormat="1" applyFont="1" applyFill="1" applyAlignment="1">
      <alignment horizontal="left" wrapText="1"/>
    </xf>
    <xf numFmtId="0" fontId="13" fillId="15" borderId="0" xfId="0" applyFont="1" applyFill="1" applyAlignment="1">
      <alignment horizontal="left" wrapText="1"/>
    </xf>
    <xf numFmtId="0" fontId="10" fillId="15" borderId="0" xfId="0" applyFont="1" applyFill="1"/>
    <xf numFmtId="0" fontId="7" fillId="15" borderId="0" xfId="0" applyFont="1" applyFill="1" applyAlignment="1">
      <alignment horizontal="left" wrapText="1"/>
    </xf>
    <xf numFmtId="0" fontId="13" fillId="15" borderId="0" xfId="0" applyFont="1" applyFill="1" applyAlignment="1">
      <alignment horizontal="center" wrapText="1"/>
    </xf>
    <xf numFmtId="0" fontId="7" fillId="15" borderId="0" xfId="0" applyFont="1" applyFill="1" applyAlignment="1">
      <alignment horizontal="left"/>
    </xf>
    <xf numFmtId="0" fontId="13" fillId="15" borderId="0" xfId="0" applyFont="1" applyFill="1" applyAlignment="1">
      <alignment horizontal="left" vertical="center" wrapText="1"/>
    </xf>
    <xf numFmtId="168" fontId="23" fillId="15" borderId="0" xfId="3" applyNumberFormat="1" applyFont="1" applyFill="1" applyBorder="1" applyAlignment="1">
      <alignment horizontal="center" vertical="center"/>
    </xf>
    <xf numFmtId="166" fontId="7" fillId="15" borderId="0" xfId="1" applyFont="1" applyFill="1" applyBorder="1" applyAlignment="1">
      <alignment horizontal="center"/>
    </xf>
    <xf numFmtId="1" fontId="23" fillId="15" borderId="0" xfId="0" applyNumberFormat="1" applyFont="1" applyFill="1" applyAlignment="1">
      <alignment horizontal="left" vertical="center"/>
    </xf>
    <xf numFmtId="0" fontId="23" fillId="15" borderId="0" xfId="0" applyFont="1" applyFill="1" applyAlignment="1">
      <alignment horizontal="left" vertical="center" wrapText="1"/>
    </xf>
    <xf numFmtId="1" fontId="11" fillId="6" borderId="0" xfId="0" applyNumberFormat="1" applyFont="1" applyFill="1" applyAlignment="1">
      <alignment vertical="center"/>
    </xf>
    <xf numFmtId="168" fontId="23" fillId="8" borderId="0" xfId="0" applyNumberFormat="1" applyFont="1" applyFill="1" applyAlignment="1">
      <alignment horizontal="right" vertical="center"/>
    </xf>
    <xf numFmtId="168" fontId="23" fillId="6" borderId="0" xfId="0" applyNumberFormat="1" applyFont="1" applyFill="1" applyAlignment="1">
      <alignment horizontal="right" vertical="center"/>
    </xf>
    <xf numFmtId="0" fontId="32" fillId="0" borderId="0" xfId="0" applyFont="1"/>
    <xf numFmtId="9" fontId="7" fillId="6" borderId="0" xfId="3" applyFont="1" applyFill="1" applyAlignment="1">
      <alignment vertical="center"/>
    </xf>
    <xf numFmtId="0" fontId="7" fillId="0" borderId="0" xfId="0" applyFont="1" applyAlignment="1">
      <alignment vertical="center"/>
    </xf>
    <xf numFmtId="167" fontId="7" fillId="0" borderId="0" xfId="0" applyNumberFormat="1" applyFont="1" applyAlignment="1">
      <alignment vertical="center"/>
    </xf>
    <xf numFmtId="0" fontId="7" fillId="0" borderId="0" xfId="0" applyFont="1" applyAlignment="1">
      <alignment horizontal="left" vertical="center"/>
    </xf>
    <xf numFmtId="167" fontId="7" fillId="0" borderId="0" xfId="1" applyNumberFormat="1" applyFont="1" applyFill="1" applyAlignment="1">
      <alignment vertical="center"/>
    </xf>
    <xf numFmtId="166" fontId="7" fillId="0" borderId="0" xfId="0" applyNumberFormat="1" applyFont="1" applyAlignment="1">
      <alignment vertical="center"/>
    </xf>
    <xf numFmtId="9" fontId="7" fillId="0" borderId="0" xfId="3" applyFont="1" applyFill="1" applyAlignment="1">
      <alignment vertical="center"/>
    </xf>
    <xf numFmtId="168" fontId="10" fillId="8" borderId="0" xfId="0" applyNumberFormat="1" applyFont="1" applyFill="1" applyAlignment="1">
      <alignment vertical="center"/>
    </xf>
    <xf numFmtId="165" fontId="17" fillId="6" borderId="0" xfId="0" applyNumberFormat="1" applyFont="1" applyFill="1" applyAlignment="1">
      <alignment vertical="center"/>
    </xf>
    <xf numFmtId="168" fontId="10" fillId="6" borderId="0" xfId="2" applyNumberFormat="1" applyFont="1" applyFill="1" applyAlignment="1">
      <alignment vertical="center"/>
    </xf>
    <xf numFmtId="168" fontId="23" fillId="15" borderId="0" xfId="3" applyNumberFormat="1" applyFont="1" applyFill="1" applyBorder="1" applyAlignment="1">
      <alignment horizontal="center" vertical="center" wrapText="1"/>
    </xf>
    <xf numFmtId="168" fontId="23" fillId="6" borderId="0" xfId="2" applyNumberFormat="1" applyFont="1" applyFill="1" applyBorder="1" applyAlignment="1">
      <alignment horizontal="center" vertical="center"/>
    </xf>
    <xf numFmtId="168" fontId="23" fillId="15" borderId="0" xfId="2" applyNumberFormat="1" applyFont="1" applyFill="1" applyBorder="1" applyAlignment="1">
      <alignment horizontal="center"/>
    </xf>
    <xf numFmtId="168" fontId="23" fillId="6" borderId="0" xfId="2" applyNumberFormat="1" applyFont="1" applyFill="1" applyBorder="1" applyAlignment="1">
      <alignment horizontal="center"/>
    </xf>
    <xf numFmtId="0" fontId="12" fillId="16" borderId="0" xfId="0" applyFont="1" applyFill="1"/>
    <xf numFmtId="0" fontId="7" fillId="16" borderId="0" xfId="0" applyFont="1" applyFill="1"/>
    <xf numFmtId="0" fontId="12" fillId="16" borderId="0" xfId="0" applyFont="1" applyFill="1" applyAlignment="1">
      <alignment vertical="center"/>
    </xf>
    <xf numFmtId="0" fontId="33" fillId="16" borderId="0" xfId="0" applyFont="1" applyFill="1"/>
    <xf numFmtId="0" fontId="33" fillId="16" borderId="0" xfId="0" applyFont="1" applyFill="1" applyAlignment="1">
      <alignment vertical="center"/>
    </xf>
    <xf numFmtId="9" fontId="0" fillId="0" borderId="0" xfId="0" applyNumberFormat="1"/>
    <xf numFmtId="170" fontId="0" fillId="0" borderId="0" xfId="0" applyNumberFormat="1"/>
    <xf numFmtId="171" fontId="0" fillId="0" borderId="0" xfId="1" applyNumberFormat="1" applyFont="1"/>
    <xf numFmtId="172" fontId="0" fillId="0" borderId="0" xfId="0" applyNumberFormat="1"/>
    <xf numFmtId="0" fontId="23" fillId="6" borderId="0" xfId="0" applyFont="1" applyFill="1" applyAlignment="1">
      <alignment horizontal="center" wrapText="1"/>
    </xf>
    <xf numFmtId="0" fontId="23" fillId="6" borderId="0" xfId="0" applyFont="1" applyFill="1" applyAlignment="1">
      <alignment horizontal="left" vertical="center" wrapText="1"/>
    </xf>
    <xf numFmtId="9" fontId="23" fillId="6" borderId="0" xfId="3" applyFont="1" applyFill="1" applyAlignment="1">
      <alignment horizontal="center" vertical="center"/>
    </xf>
    <xf numFmtId="9" fontId="7" fillId="14" borderId="1" xfId="3" applyFont="1" applyFill="1" applyBorder="1" applyAlignment="1">
      <alignment horizontal="center" vertical="center" wrapText="1"/>
    </xf>
    <xf numFmtId="168" fontId="10" fillId="15" borderId="0" xfId="0" applyNumberFormat="1" applyFont="1" applyFill="1" applyAlignment="1">
      <alignment horizontal="left"/>
    </xf>
    <xf numFmtId="0" fontId="10" fillId="15" borderId="0" xfId="0" applyFont="1" applyFill="1" applyAlignment="1">
      <alignment horizontal="center"/>
    </xf>
    <xf numFmtId="0" fontId="17" fillId="11" borderId="0" xfId="0" applyFont="1" applyFill="1" applyAlignment="1">
      <alignment vertical="center"/>
    </xf>
    <xf numFmtId="0" fontId="7" fillId="11" borderId="0" xfId="0" applyFont="1" applyFill="1" applyAlignment="1">
      <alignment vertical="center"/>
    </xf>
    <xf numFmtId="0" fontId="30" fillId="11" borderId="0" xfId="0" applyFont="1" applyFill="1" applyAlignment="1">
      <alignment vertical="center"/>
    </xf>
    <xf numFmtId="0" fontId="10" fillId="11" borderId="0" xfId="0" applyFont="1" applyFill="1" applyAlignment="1">
      <alignment vertical="center"/>
    </xf>
    <xf numFmtId="0" fontId="34" fillId="16" borderId="0" xfId="0" applyFont="1" applyFill="1"/>
    <xf numFmtId="0" fontId="7" fillId="11" borderId="0" xfId="0" applyFont="1" applyFill="1" applyAlignment="1">
      <alignment horizontal="center" vertical="center"/>
    </xf>
    <xf numFmtId="0" fontId="23" fillId="11" borderId="0" xfId="0" applyFont="1" applyFill="1" applyAlignment="1">
      <alignment vertical="center"/>
    </xf>
    <xf numFmtId="0" fontId="23" fillId="11" borderId="0" xfId="0" applyFont="1" applyFill="1" applyAlignment="1">
      <alignment horizontal="center"/>
    </xf>
    <xf numFmtId="9" fontId="10" fillId="11" borderId="0" xfId="3" applyFont="1" applyFill="1" applyAlignment="1">
      <alignment horizontal="center" vertical="center"/>
    </xf>
    <xf numFmtId="9" fontId="23" fillId="6" borderId="1" xfId="0" applyNumberFormat="1" applyFont="1" applyFill="1" applyBorder="1" applyAlignment="1">
      <alignment horizontal="center" vertical="center"/>
    </xf>
    <xf numFmtId="9" fontId="23" fillId="11" borderId="1" xfId="0" applyNumberFormat="1" applyFont="1" applyFill="1" applyBorder="1" applyAlignment="1">
      <alignment horizontal="center" vertical="center"/>
    </xf>
    <xf numFmtId="9" fontId="35" fillId="16" borderId="0" xfId="0" applyNumberFormat="1" applyFont="1" applyFill="1"/>
    <xf numFmtId="168" fontId="10" fillId="11" borderId="0" xfId="2" applyNumberFormat="1" applyFont="1" applyFill="1" applyAlignment="1">
      <alignment horizontal="left" vertical="center" wrapText="1"/>
    </xf>
    <xf numFmtId="1" fontId="7" fillId="11" borderId="0" xfId="0" applyNumberFormat="1" applyFont="1" applyFill="1" applyAlignment="1">
      <alignment horizontal="center" vertical="center"/>
    </xf>
    <xf numFmtId="1" fontId="7" fillId="11" borderId="0" xfId="0" applyNumberFormat="1" applyFont="1" applyFill="1" applyAlignment="1">
      <alignment horizontal="left" vertical="center"/>
    </xf>
    <xf numFmtId="0" fontId="23" fillId="16" borderId="0" xfId="0" applyFont="1" applyFill="1" applyAlignment="1">
      <alignment horizontal="center"/>
    </xf>
    <xf numFmtId="0" fontId="23" fillId="11" borderId="0" xfId="0" applyFont="1" applyFill="1" applyAlignment="1">
      <alignment horizontal="left" vertical="center"/>
    </xf>
    <xf numFmtId="1" fontId="23" fillId="11" borderId="0" xfId="0" applyNumberFormat="1" applyFont="1" applyFill="1" applyAlignment="1">
      <alignment horizontal="left" vertical="center" wrapText="1"/>
    </xf>
    <xf numFmtId="9" fontId="23" fillId="6" borderId="0" xfId="3" applyFont="1" applyFill="1" applyBorder="1" applyAlignment="1">
      <alignment horizontal="center"/>
    </xf>
    <xf numFmtId="167" fontId="23" fillId="6" borderId="0" xfId="0" applyNumberFormat="1" applyFont="1" applyFill="1" applyAlignment="1">
      <alignment horizontal="right"/>
    </xf>
    <xf numFmtId="168" fontId="23" fillId="6" borderId="0" xfId="2" applyNumberFormat="1" applyFont="1" applyFill="1" applyAlignment="1">
      <alignment horizontal="right"/>
    </xf>
    <xf numFmtId="168" fontId="23" fillId="6" borderId="0" xfId="2" applyNumberFormat="1" applyFont="1" applyFill="1" applyAlignment="1">
      <alignment horizontal="center"/>
    </xf>
    <xf numFmtId="1" fontId="31" fillId="6" borderId="0" xfId="0" applyNumberFormat="1" applyFont="1" applyFill="1" applyAlignment="1">
      <alignment horizontal="center"/>
    </xf>
    <xf numFmtId="167" fontId="23" fillId="6" borderId="0" xfId="1" applyNumberFormat="1" applyFont="1" applyFill="1" applyAlignment="1">
      <alignment horizontal="center"/>
    </xf>
    <xf numFmtId="168" fontId="23" fillId="6" borderId="0" xfId="0" applyNumberFormat="1" applyFont="1" applyFill="1" applyAlignment="1">
      <alignment horizontal="left"/>
    </xf>
    <xf numFmtId="0" fontId="30" fillId="6" borderId="0" xfId="0" applyFont="1" applyFill="1" applyAlignment="1">
      <alignment horizontal="center" vertical="center"/>
    </xf>
    <xf numFmtId="0" fontId="10" fillId="11" borderId="0" xfId="0" applyFont="1" applyFill="1"/>
    <xf numFmtId="0" fontId="7" fillId="11" borderId="0" xfId="0" applyFont="1" applyFill="1"/>
    <xf numFmtId="9" fontId="7" fillId="11" borderId="0" xfId="3" applyFont="1" applyFill="1" applyAlignment="1">
      <alignment horizontal="left" vertical="center"/>
    </xf>
    <xf numFmtId="3" fontId="10" fillId="11" borderId="0" xfId="1" applyNumberFormat="1" applyFont="1" applyFill="1" applyAlignment="1">
      <alignment horizontal="center" vertical="center" wrapText="1"/>
    </xf>
    <xf numFmtId="164" fontId="10" fillId="6" borderId="0" xfId="2" applyNumberFormat="1" applyFont="1" applyFill="1" applyAlignment="1">
      <alignment horizontal="center" vertical="center" wrapText="1"/>
    </xf>
    <xf numFmtId="0" fontId="7" fillId="6" borderId="0" xfId="0" applyFont="1" applyFill="1" applyAlignment="1">
      <alignment horizontal="left" vertical="center" wrapText="1"/>
    </xf>
    <xf numFmtId="3" fontId="10" fillId="6" borderId="0" xfId="1" applyNumberFormat="1" applyFont="1" applyFill="1" applyAlignment="1">
      <alignment horizontal="center" vertical="center" wrapText="1"/>
    </xf>
    <xf numFmtId="9" fontId="7" fillId="6" borderId="0" xfId="3" applyFont="1" applyFill="1" applyAlignment="1">
      <alignment horizontal="left" vertical="center"/>
    </xf>
    <xf numFmtId="169" fontId="7" fillId="0" borderId="0" xfId="3" applyNumberFormat="1" applyFont="1"/>
    <xf numFmtId="0" fontId="7" fillId="6" borderId="0" xfId="0" applyFont="1" applyFill="1" applyAlignment="1">
      <alignment horizontal="center" wrapText="1"/>
    </xf>
    <xf numFmtId="0" fontId="23" fillId="11" borderId="0" xfId="0" applyFont="1" applyFill="1"/>
    <xf numFmtId="0" fontId="10" fillId="6" borderId="0" xfId="0" applyFont="1" applyFill="1" applyAlignment="1">
      <alignment horizontal="center" vertical="center"/>
    </xf>
    <xf numFmtId="0" fontId="23" fillId="6" borderId="0" xfId="0" applyFont="1" applyFill="1" applyAlignment="1">
      <alignment horizontal="center" vertical="center"/>
    </xf>
    <xf numFmtId="0" fontId="23" fillId="6" borderId="0" xfId="0" applyFont="1" applyFill="1" applyAlignment="1">
      <alignment horizontal="center" vertical="center" wrapText="1"/>
    </xf>
    <xf numFmtId="0" fontId="31" fillId="6" borderId="0" xfId="0" applyFont="1" applyFill="1" applyAlignment="1">
      <alignment horizontal="left" vertical="center"/>
    </xf>
    <xf numFmtId="167" fontId="7" fillId="6" borderId="0" xfId="1" applyNumberFormat="1" applyFont="1" applyFill="1"/>
    <xf numFmtId="164" fontId="7" fillId="6" borderId="0" xfId="0" applyNumberFormat="1" applyFont="1" applyFill="1" applyAlignment="1">
      <alignment horizontal="center"/>
    </xf>
    <xf numFmtId="168" fontId="7" fillId="6" borderId="0" xfId="0" applyNumberFormat="1" applyFont="1" applyFill="1" applyAlignment="1">
      <alignment vertical="center"/>
    </xf>
    <xf numFmtId="173" fontId="7" fillId="6" borderId="0" xfId="2" applyNumberFormat="1" applyFont="1" applyFill="1" applyAlignment="1">
      <alignment horizontal="center" vertical="center"/>
    </xf>
    <xf numFmtId="1" fontId="7" fillId="11" borderId="0" xfId="0" applyNumberFormat="1" applyFont="1" applyFill="1" applyAlignment="1">
      <alignment vertical="center"/>
    </xf>
    <xf numFmtId="1" fontId="23" fillId="6" borderId="0" xfId="0" applyNumberFormat="1" applyFont="1" applyFill="1" applyAlignment="1">
      <alignment horizontal="center" vertical="center" wrapText="1"/>
    </xf>
    <xf numFmtId="165" fontId="3" fillId="0" borderId="0" xfId="0" applyNumberFormat="1" applyFont="1"/>
    <xf numFmtId="0" fontId="3" fillId="0" borderId="0" xfId="0" applyFont="1" applyAlignment="1">
      <alignment horizontal="right"/>
    </xf>
    <xf numFmtId="0" fontId="36" fillId="0" borderId="0" xfId="0" applyFont="1"/>
    <xf numFmtId="0" fontId="37" fillId="0" borderId="0" xfId="0" applyFont="1"/>
    <xf numFmtId="166" fontId="37" fillId="0" borderId="0" xfId="1" applyFont="1"/>
    <xf numFmtId="165" fontId="37" fillId="0" borderId="0" xfId="0" applyNumberFormat="1" applyFont="1"/>
    <xf numFmtId="165" fontId="37" fillId="0" borderId="0" xfId="2" applyFont="1"/>
    <xf numFmtId="166" fontId="37" fillId="0" borderId="0" xfId="0" applyNumberFormat="1" applyFont="1"/>
    <xf numFmtId="0" fontId="36" fillId="0" borderId="0" xfId="0" applyFont="1" applyAlignment="1">
      <alignment horizontal="right"/>
    </xf>
    <xf numFmtId="165" fontId="36" fillId="0" borderId="0" xfId="0" applyNumberFormat="1" applyFont="1"/>
    <xf numFmtId="173" fontId="10" fillId="11" borderId="0" xfId="2" applyNumberFormat="1" applyFont="1" applyFill="1" applyAlignment="1">
      <alignment horizontal="center" vertical="center" wrapText="1"/>
    </xf>
    <xf numFmtId="173" fontId="7" fillId="6" borderId="0" xfId="0" applyNumberFormat="1" applyFont="1" applyFill="1" applyAlignment="1">
      <alignment vertical="center"/>
    </xf>
    <xf numFmtId="167" fontId="33" fillId="16" borderId="0" xfId="1" applyNumberFormat="1" applyFont="1" applyFill="1" applyAlignment="1">
      <alignment vertical="center"/>
    </xf>
    <xf numFmtId="165" fontId="7" fillId="6" borderId="0" xfId="0" applyNumberFormat="1" applyFont="1" applyFill="1"/>
    <xf numFmtId="0" fontId="38" fillId="0" borderId="0" xfId="0" applyFont="1"/>
    <xf numFmtId="0" fontId="39" fillId="0" borderId="0" xfId="0" applyFont="1"/>
    <xf numFmtId="165" fontId="39" fillId="0" borderId="0" xfId="0" applyNumberFormat="1" applyFont="1"/>
    <xf numFmtId="166" fontId="39" fillId="0" borderId="0" xfId="1" applyFont="1"/>
    <xf numFmtId="165" fontId="39" fillId="0" borderId="0" xfId="2" applyFont="1"/>
    <xf numFmtId="0" fontId="40" fillId="0" borderId="0" xfId="0" applyFont="1"/>
    <xf numFmtId="166" fontId="40" fillId="0" borderId="0" xfId="0" applyNumberFormat="1" applyFont="1"/>
    <xf numFmtId="165" fontId="40" fillId="0" borderId="0" xfId="0" applyNumberFormat="1" applyFont="1"/>
    <xf numFmtId="0" fontId="12" fillId="14" borderId="0" xfId="0" applyFont="1" applyFill="1"/>
    <xf numFmtId="0" fontId="7" fillId="14" borderId="0" xfId="0" applyFont="1" applyFill="1"/>
    <xf numFmtId="0" fontId="12" fillId="14" borderId="0" xfId="0" applyFont="1" applyFill="1" applyAlignment="1">
      <alignment vertical="center"/>
    </xf>
    <xf numFmtId="0" fontId="41" fillId="14" borderId="0" xfId="0" applyFont="1" applyFill="1"/>
    <xf numFmtId="0" fontId="41" fillId="14" borderId="0" xfId="0" applyFont="1" applyFill="1" applyAlignment="1">
      <alignment vertical="center"/>
    </xf>
    <xf numFmtId="0" fontId="42" fillId="17" borderId="0" xfId="0" applyFont="1" applyFill="1"/>
    <xf numFmtId="0" fontId="42" fillId="17" borderId="0" xfId="0" applyFont="1" applyFill="1" applyAlignment="1">
      <alignment vertical="center"/>
    </xf>
    <xf numFmtId="0" fontId="7" fillId="17" borderId="0" xfId="0" applyFont="1" applyFill="1"/>
    <xf numFmtId="0" fontId="43" fillId="17" borderId="0" xfId="0" applyFont="1" applyFill="1"/>
    <xf numFmtId="0" fontId="43" fillId="17" borderId="0" xfId="0" applyFont="1" applyFill="1" applyAlignment="1">
      <alignment vertical="center"/>
    </xf>
    <xf numFmtId="0" fontId="10" fillId="6" borderId="0" xfId="0" applyFont="1" applyFill="1" applyAlignment="1">
      <alignment horizontal="center" vertical="center" wrapText="1"/>
    </xf>
    <xf numFmtId="0" fontId="12" fillId="18" borderId="0" xfId="0" applyFont="1" applyFill="1" applyAlignment="1">
      <alignment vertical="center"/>
    </xf>
    <xf numFmtId="0" fontId="44" fillId="18" borderId="0" xfId="0" applyFont="1" applyFill="1" applyAlignment="1">
      <alignment vertical="center"/>
    </xf>
    <xf numFmtId="0" fontId="10" fillId="15" borderId="0" xfId="0" applyFont="1" applyFill="1" applyAlignment="1">
      <alignment vertical="center"/>
    </xf>
    <xf numFmtId="0" fontId="7" fillId="15" borderId="0" xfId="0" applyFont="1" applyFill="1" applyAlignment="1">
      <alignment vertical="center"/>
    </xf>
    <xf numFmtId="0" fontId="7" fillId="15" borderId="0" xfId="0" applyFont="1" applyFill="1" applyAlignment="1">
      <alignment horizontal="center" vertical="center"/>
    </xf>
    <xf numFmtId="0" fontId="23" fillId="6" borderId="0" xfId="0" applyFont="1" applyFill="1" applyAlignment="1">
      <alignment horizontal="left" vertical="center"/>
    </xf>
    <xf numFmtId="9" fontId="23" fillId="19" borderId="1" xfId="0" applyNumberFormat="1" applyFont="1" applyFill="1" applyBorder="1" applyAlignment="1">
      <alignment horizontal="center" vertical="center" wrapText="1"/>
    </xf>
    <xf numFmtId="0" fontId="7" fillId="18" borderId="0" xfId="0" applyFont="1" applyFill="1" applyAlignment="1">
      <alignment vertical="center"/>
    </xf>
    <xf numFmtId="0" fontId="10" fillId="6" borderId="0" xfId="0" applyFont="1" applyFill="1" applyAlignment="1">
      <alignment horizontal="left" vertical="center" wrapText="1"/>
    </xf>
    <xf numFmtId="0" fontId="23" fillId="15" borderId="0" xfId="0" applyFont="1" applyFill="1" applyAlignment="1">
      <alignment horizontal="left" vertical="center"/>
    </xf>
    <xf numFmtId="0" fontId="44" fillId="18" borderId="0" xfId="0" applyFont="1" applyFill="1" applyAlignment="1">
      <alignment vertical="center" wrapText="1"/>
    </xf>
    <xf numFmtId="9" fontId="23" fillId="15" borderId="0" xfId="0" applyNumberFormat="1" applyFont="1" applyFill="1" applyAlignment="1">
      <alignment horizontal="center" vertical="center"/>
    </xf>
    <xf numFmtId="173" fontId="23" fillId="6" borderId="0" xfId="2" applyNumberFormat="1" applyFont="1" applyFill="1" applyAlignment="1">
      <alignment horizontal="center" vertical="center" wrapText="1"/>
    </xf>
    <xf numFmtId="9" fontId="7" fillId="6" borderId="0" xfId="3" applyFont="1" applyFill="1"/>
    <xf numFmtId="0" fontId="45" fillId="6" borderId="0" xfId="0" applyFont="1" applyFill="1" applyAlignment="1">
      <alignment vertical="center"/>
    </xf>
    <xf numFmtId="173" fontId="13" fillId="6" borderId="0" xfId="2" applyNumberFormat="1" applyFont="1" applyFill="1" applyAlignment="1">
      <alignment horizontal="center" vertical="center" wrapText="1"/>
    </xf>
    <xf numFmtId="0" fontId="23" fillId="15" borderId="0" xfId="0" applyFont="1" applyFill="1" applyAlignment="1">
      <alignment horizontal="center" vertical="center"/>
    </xf>
    <xf numFmtId="0" fontId="7" fillId="15" borderId="0" xfId="0" applyFont="1" applyFill="1" applyAlignment="1">
      <alignment horizontal="left" vertical="center"/>
    </xf>
    <xf numFmtId="0" fontId="10" fillId="15" borderId="0" xfId="0" applyFont="1" applyFill="1" applyAlignment="1">
      <alignment horizontal="left" vertical="center"/>
    </xf>
    <xf numFmtId="173" fontId="23" fillId="15" borderId="0" xfId="2" applyNumberFormat="1" applyFont="1" applyFill="1" applyAlignment="1">
      <alignment horizontal="center" vertical="center"/>
    </xf>
    <xf numFmtId="173" fontId="23" fillId="14" borderId="1" xfId="2" applyNumberFormat="1" applyFont="1" applyFill="1" applyBorder="1" applyAlignment="1">
      <alignment horizontal="center" vertical="center"/>
    </xf>
    <xf numFmtId="0" fontId="23" fillId="6" borderId="0" xfId="0" applyFont="1" applyFill="1" applyAlignment="1">
      <alignment horizontal="left" vertical="center" wrapText="1" indent="1"/>
    </xf>
    <xf numFmtId="9" fontId="23" fillId="14" borderId="1" xfId="0" applyNumberFormat="1" applyFont="1" applyFill="1" applyBorder="1" applyAlignment="1">
      <alignment horizontal="center" vertical="center"/>
    </xf>
    <xf numFmtId="0" fontId="46" fillId="0" borderId="0" xfId="0" applyFont="1"/>
    <xf numFmtId="0" fontId="47" fillId="0" borderId="0" xfId="0" applyFont="1"/>
    <xf numFmtId="165" fontId="47" fillId="0" borderId="0" xfId="2" applyFont="1"/>
    <xf numFmtId="9" fontId="47" fillId="0" borderId="0" xfId="0" applyNumberFormat="1" applyFont="1"/>
    <xf numFmtId="166" fontId="47" fillId="0" borderId="0" xfId="0" applyNumberFormat="1" applyFont="1"/>
    <xf numFmtId="165" fontId="47" fillId="0" borderId="0" xfId="0" applyNumberFormat="1" applyFont="1"/>
    <xf numFmtId="167" fontId="47" fillId="0" borderId="0" xfId="0" applyNumberFormat="1" applyFont="1"/>
    <xf numFmtId="165" fontId="46" fillId="0" borderId="0" xfId="0" applyNumberFormat="1" applyFont="1"/>
    <xf numFmtId="168" fontId="47" fillId="0" borderId="0" xfId="2" applyNumberFormat="1" applyFont="1"/>
    <xf numFmtId="166" fontId="47" fillId="0" borderId="0" xfId="1" applyFont="1"/>
    <xf numFmtId="0" fontId="46" fillId="0" borderId="0" xfId="0" applyFont="1" applyAlignment="1">
      <alignment horizontal="right"/>
    </xf>
    <xf numFmtId="173" fontId="10" fillId="15" borderId="0" xfId="2" applyNumberFormat="1" applyFont="1" applyFill="1" applyAlignment="1">
      <alignment horizontal="center" vertical="center"/>
    </xf>
    <xf numFmtId="9" fontId="7" fillId="6" borderId="0" xfId="0" applyNumberFormat="1" applyFont="1" applyFill="1" applyAlignment="1">
      <alignment horizontal="center"/>
    </xf>
    <xf numFmtId="0" fontId="23" fillId="15" borderId="0" xfId="0" applyFont="1" applyFill="1" applyAlignment="1">
      <alignment horizontal="left" vertical="center" indent="2"/>
    </xf>
    <xf numFmtId="0" fontId="23" fillId="6" borderId="0" xfId="0" applyFont="1" applyFill="1" applyAlignment="1">
      <alignment horizontal="left" vertical="center" indent="2"/>
    </xf>
    <xf numFmtId="9" fontId="7" fillId="6" borderId="0" xfId="0" applyNumberFormat="1" applyFont="1" applyFill="1" applyAlignment="1">
      <alignment horizontal="center" vertical="center"/>
    </xf>
    <xf numFmtId="0" fontId="49" fillId="4" borderId="0" xfId="4" applyFont="1" applyFill="1" applyAlignment="1">
      <alignment horizontal="center"/>
    </xf>
    <xf numFmtId="0" fontId="50" fillId="4" borderId="0" xfId="0" applyFont="1" applyFill="1" applyAlignment="1">
      <alignment horizontal="center"/>
    </xf>
    <xf numFmtId="167" fontId="7" fillId="6" borderId="0" xfId="0" applyNumberFormat="1" applyFont="1" applyFill="1" applyAlignment="1">
      <alignment horizontal="center" vertical="center"/>
    </xf>
    <xf numFmtId="0" fontId="7" fillId="17" borderId="0" xfId="0" applyFont="1" applyFill="1" applyAlignment="1">
      <alignment horizontal="center" vertical="center"/>
    </xf>
    <xf numFmtId="0" fontId="7" fillId="17" borderId="0" xfId="0" applyFont="1" applyFill="1" applyAlignment="1">
      <alignment vertical="center"/>
    </xf>
    <xf numFmtId="173" fontId="7" fillId="6" borderId="0" xfId="0" applyNumberFormat="1" applyFont="1" applyFill="1" applyAlignment="1">
      <alignment horizontal="center" vertical="center"/>
    </xf>
    <xf numFmtId="173" fontId="23" fillId="6" borderId="0" xfId="0" applyNumberFormat="1" applyFont="1" applyFill="1" applyAlignment="1">
      <alignment horizontal="center" vertical="center"/>
    </xf>
    <xf numFmtId="0" fontId="51" fillId="0" borderId="0" xfId="0" applyFont="1" applyAlignment="1">
      <alignment horizontal="center" vertical="center" textRotation="90" wrapText="1"/>
    </xf>
    <xf numFmtId="0" fontId="51" fillId="6" borderId="0" xfId="0" applyFont="1" applyFill="1" applyAlignment="1">
      <alignment vertical="center" wrapText="1"/>
    </xf>
    <xf numFmtId="0" fontId="51" fillId="0" borderId="0" xfId="0" applyFont="1"/>
    <xf numFmtId="166" fontId="51" fillId="0" borderId="0" xfId="1" applyFont="1"/>
    <xf numFmtId="0" fontId="52" fillId="0" borderId="0" xfId="0" applyFont="1"/>
    <xf numFmtId="0" fontId="52" fillId="0" borderId="0" xfId="0" applyFont="1" applyAlignment="1">
      <alignment wrapText="1"/>
    </xf>
    <xf numFmtId="167" fontId="51" fillId="0" borderId="0" xfId="1" applyNumberFormat="1" applyFont="1"/>
    <xf numFmtId="1" fontId="31" fillId="15" borderId="0" xfId="0" applyNumberFormat="1" applyFont="1" applyFill="1" applyAlignment="1">
      <alignment horizontal="center" vertical="center" wrapText="1"/>
    </xf>
    <xf numFmtId="9" fontId="23" fillId="6" borderId="0" xfId="0" applyNumberFormat="1" applyFont="1" applyFill="1" applyAlignment="1">
      <alignment horizontal="center" vertical="center"/>
    </xf>
    <xf numFmtId="9" fontId="25" fillId="6" borderId="0" xfId="3" applyFont="1" applyFill="1" applyAlignment="1">
      <alignment vertical="center"/>
    </xf>
    <xf numFmtId="168" fontId="7" fillId="6" borderId="0" xfId="0" applyNumberFormat="1" applyFont="1" applyFill="1"/>
    <xf numFmtId="168" fontId="23" fillId="6" borderId="0" xfId="2" applyNumberFormat="1" applyFont="1" applyFill="1" applyAlignment="1">
      <alignment horizontal="center" vertical="center"/>
    </xf>
    <xf numFmtId="168" fontId="51" fillId="0" borderId="0" xfId="2" applyNumberFormat="1" applyFont="1"/>
    <xf numFmtId="0" fontId="0" fillId="20" borderId="0" xfId="0" applyFill="1"/>
    <xf numFmtId="9" fontId="0" fillId="20" borderId="0" xfId="3" applyFont="1" applyFill="1"/>
    <xf numFmtId="168" fontId="53" fillId="8" borderId="0" xfId="0" applyNumberFormat="1" applyFont="1" applyFill="1" applyAlignment="1">
      <alignment vertical="center"/>
    </xf>
    <xf numFmtId="0" fontId="53" fillId="8" borderId="0" xfId="0" applyFont="1" applyFill="1" applyAlignment="1">
      <alignment vertical="center"/>
    </xf>
    <xf numFmtId="165" fontId="51" fillId="0" borderId="0" xfId="0" applyNumberFormat="1" applyFont="1"/>
    <xf numFmtId="1" fontId="7" fillId="6" borderId="0" xfId="0" applyNumberFormat="1" applyFont="1" applyFill="1"/>
    <xf numFmtId="168" fontId="52" fillId="0" borderId="0" xfId="2" applyNumberFormat="1" applyFont="1" applyAlignment="1">
      <alignment wrapText="1"/>
    </xf>
    <xf numFmtId="0" fontId="54" fillId="0" borderId="0" xfId="0" applyFont="1" applyAlignment="1">
      <alignment wrapText="1"/>
    </xf>
    <xf numFmtId="168" fontId="0" fillId="20" borderId="0" xfId="2" applyNumberFormat="1" applyFont="1" applyFill="1"/>
    <xf numFmtId="168" fontId="0" fillId="4" borderId="0" xfId="2" applyNumberFormat="1" applyFont="1" applyFill="1"/>
    <xf numFmtId="166" fontId="51" fillId="0" borderId="0" xfId="0" applyNumberFormat="1" applyFont="1"/>
    <xf numFmtId="166" fontId="0" fillId="0" borderId="0" xfId="0" applyNumberFormat="1" applyAlignment="1">
      <alignment horizontal="center"/>
    </xf>
    <xf numFmtId="9" fontId="7" fillId="8" borderId="0" xfId="3" applyFont="1" applyFill="1" applyAlignment="1">
      <alignment vertical="center"/>
    </xf>
    <xf numFmtId="0" fontId="55" fillId="4" borderId="0" xfId="4" applyFont="1" applyFill="1"/>
    <xf numFmtId="168" fontId="7" fillId="6" borderId="0" xfId="2" applyNumberFormat="1" applyFont="1" applyFill="1" applyAlignment="1">
      <alignment horizontal="center" vertical="center" wrapText="1"/>
    </xf>
    <xf numFmtId="0" fontId="13" fillId="7" borderId="0" xfId="0" applyFont="1" applyFill="1" applyAlignment="1">
      <alignment horizontal="left" wrapText="1"/>
    </xf>
    <xf numFmtId="0" fontId="23" fillId="15" borderId="0" xfId="0" applyFont="1" applyFill="1" applyAlignment="1">
      <alignment horizontal="left" vertical="center" wrapText="1"/>
    </xf>
    <xf numFmtId="0" fontId="23" fillId="6" borderId="0" xfId="0" applyFont="1" applyFill="1" applyAlignment="1">
      <alignment horizontal="left" vertical="center" wrapText="1"/>
    </xf>
    <xf numFmtId="0" fontId="23" fillId="6" borderId="0" xfId="0" applyFont="1" applyFill="1" applyAlignment="1">
      <alignment horizontal="left" vertical="center" wrapText="1" indent="1"/>
    </xf>
    <xf numFmtId="0" fontId="23" fillId="6" borderId="6" xfId="0" applyFont="1" applyFill="1" applyBorder="1" applyAlignment="1">
      <alignment horizontal="left" vertical="center" wrapText="1" indent="1"/>
    </xf>
    <xf numFmtId="0" fontId="51" fillId="0" borderId="0" xfId="0" applyFont="1" applyAlignment="1">
      <alignment horizontal="center"/>
    </xf>
    <xf numFmtId="0" fontId="7" fillId="6" borderId="0" xfId="0" applyFont="1" applyFill="1" applyAlignment="1">
      <alignment horizontal="center" vertical="center"/>
    </xf>
  </cellXfs>
  <cellStyles count="5">
    <cellStyle name="Comma" xfId="1" builtinId="3"/>
    <cellStyle name="Currency" xfId="2" builtinId="4"/>
    <cellStyle name="Hyperlink" xfId="4" builtinId="8"/>
    <cellStyle name="Normal" xfId="0" builtinId="0"/>
    <cellStyle name="Percent" xfId="3" builtinId="5"/>
  </cellStyles>
  <dxfs count="0"/>
  <tableStyles count="0" defaultTableStyle="TableStyleMedium2" defaultPivotStyle="PivotStyleLight16"/>
  <colors>
    <mruColors>
      <color rgb="FFCDABFF"/>
      <color rgb="FFB400B4"/>
      <color rgb="FFFF85FF"/>
      <color rgb="FFD8F6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2.xml"/><Relationship Id="rId18" Type="http://schemas.openxmlformats.org/officeDocument/2006/relationships/sharedStrings" Target="sharedStrings.xml"/><Relationship Id="rId3" Type="http://schemas.openxmlformats.org/officeDocument/2006/relationships/worksheet" Target="worksheets/sheet3.xml"/><Relationship Id="rId21" Type="http://schemas.microsoft.com/office/2022/11/relationships/FeaturePropertyBag" Target="featurePropertyBag/featurePropertyBag.xml"/><Relationship Id="rId7" Type="http://schemas.openxmlformats.org/officeDocument/2006/relationships/worksheet" Target="worksheets/sheet7.xml"/><Relationship Id="rId12" Type="http://schemas.openxmlformats.org/officeDocument/2006/relationships/worksheet" Target="worksheets/sheet11.xml"/><Relationship Id="rId17" Type="http://schemas.openxmlformats.org/officeDocument/2006/relationships/styles" Target="styles.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hartsheet" Target="chartsheets/sheet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3.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a:t>Breakdown of NEM costs ($m)</a:t>
            </a:r>
          </a:p>
        </c:rich>
      </c:tx>
      <c:layout>
        <c:manualLayout>
          <c:xMode val="edge"/>
          <c:yMode val="edge"/>
          <c:x val="0.40169714703730797"/>
          <c:y val="0.1111111111111111"/>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30522003499562556"/>
          <c:y val="0.17171296296296296"/>
          <c:w val="0.664224409448819"/>
          <c:h val="0.77736111111111106"/>
        </c:manualLayout>
      </c:layout>
      <c:barChart>
        <c:barDir val="col"/>
        <c:grouping val="stacked"/>
        <c:varyColors val="0"/>
        <c:ser>
          <c:idx val="0"/>
          <c:order val="0"/>
          <c:tx>
            <c:strRef>
              <c:f>'1. Choose State'!$C$41</c:f>
              <c:strCache>
                <c:ptCount val="1"/>
                <c:pt idx="0">
                  <c:v>short run marginal costs</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'1. Choose State'!$D$41</c:f>
              <c:numCache>
                <c:formatCode>_-"$"* #,##0_-;\-"$"* #,##0_-;_-"$"* "-"??_-;_-@_-</c:formatCode>
                <c:ptCount val="1"/>
                <c:pt idx="0">
                  <c:v>5316.6119175460999</c:v>
                </c:pt>
              </c:numCache>
            </c:numRef>
          </c:val>
          <c:extLst>
            <c:ext xmlns:c16="http://schemas.microsoft.com/office/drawing/2014/chart" uri="{C3380CC4-5D6E-409C-BE32-E72D297353CC}">
              <c16:uniqueId val="{00000000-DC42-475E-89AC-0CBB5E0CC3CD}"/>
            </c:ext>
          </c:extLst>
        </c:ser>
        <c:ser>
          <c:idx val="1"/>
          <c:order val="1"/>
          <c:tx>
            <c:strRef>
              <c:f>'1. Choose State'!$C$42</c:f>
              <c:strCache>
                <c:ptCount val="1"/>
                <c:pt idx="0">
                  <c:v>long run marginal costs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'1. Choose State'!$D$42</c:f>
              <c:numCache>
                <c:formatCode>_-"$"* #,##0_-;\-"$"* #,##0_-;_-"$"* "-"??_-;_-@_-</c:formatCode>
                <c:ptCount val="1"/>
                <c:pt idx="0">
                  <c:v>3335.1249853212767</c:v>
                </c:pt>
              </c:numCache>
            </c:numRef>
          </c:val>
          <c:extLst>
            <c:ext xmlns:c16="http://schemas.microsoft.com/office/drawing/2014/chart" uri="{C3380CC4-5D6E-409C-BE32-E72D297353CC}">
              <c16:uniqueId val="{00000001-DC42-475E-89AC-0CBB5E0CC3CD}"/>
            </c:ext>
          </c:extLst>
        </c:ser>
        <c:ser>
          <c:idx val="2"/>
          <c:order val="2"/>
          <c:tx>
            <c:strRef>
              <c:f>'1. Choose State'!$C$43</c:f>
              <c:strCache>
                <c:ptCount val="1"/>
                <c:pt idx="0">
                  <c:v>per customer costs</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'1. Choose State'!$D$43</c:f>
              <c:numCache>
                <c:formatCode>_-"$"* #,##0_-;\-"$"* #,##0_-;_-"$"* "-"??_-;_-@_-</c:formatCode>
                <c:ptCount val="1"/>
                <c:pt idx="0">
                  <c:v>3788.7630641283627</c:v>
                </c:pt>
              </c:numCache>
            </c:numRef>
          </c:val>
          <c:extLst>
            <c:ext xmlns:c16="http://schemas.microsoft.com/office/drawing/2014/chart" uri="{C3380CC4-5D6E-409C-BE32-E72D297353CC}">
              <c16:uniqueId val="{00000002-DC42-475E-89AC-0CBB5E0CC3CD}"/>
            </c:ext>
          </c:extLst>
        </c:ser>
        <c:ser>
          <c:idx val="3"/>
          <c:order val="3"/>
          <c:tx>
            <c:strRef>
              <c:f>'1. Choose State'!$C$44</c:f>
              <c:strCache>
                <c:ptCount val="1"/>
                <c:pt idx="0">
                  <c:v>residual costs</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'1. Choose State'!$D$44</c:f>
              <c:numCache>
                <c:formatCode>_-"$"* #,##0_-;\-"$"* #,##0_-;_-"$"* "-"??_-;_-@_-</c:formatCode>
                <c:ptCount val="1"/>
                <c:pt idx="0">
                  <c:v>4833.724336966492</c:v>
                </c:pt>
              </c:numCache>
            </c:numRef>
          </c:val>
          <c:extLst>
            <c:ext xmlns:c16="http://schemas.microsoft.com/office/drawing/2014/chart" uri="{C3380CC4-5D6E-409C-BE32-E72D297353CC}">
              <c16:uniqueId val="{00000003-DC42-475E-89AC-0CBB5E0CC3CD}"/>
            </c:ext>
          </c:extLst>
        </c:ser>
        <c:dLbls>
          <c:dLblPos val="ctr"/>
          <c:showLegendKey val="0"/>
          <c:showVal val="1"/>
          <c:showCatName val="0"/>
          <c:showSerName val="0"/>
          <c:showPercent val="0"/>
          <c:showBubbleSize val="0"/>
        </c:dLbls>
        <c:gapWidth val="60"/>
        <c:overlap val="100"/>
        <c:axId val="231304687"/>
        <c:axId val="231305647"/>
      </c:barChart>
      <c:catAx>
        <c:axId val="231304687"/>
        <c:scaling>
          <c:orientation val="minMax"/>
        </c:scaling>
        <c:delete val="1"/>
        <c:axPos val="b"/>
        <c:numFmt formatCode="General" sourceLinked="1"/>
        <c:majorTickMark val="none"/>
        <c:minorTickMark val="none"/>
        <c:tickLblPos val="nextTo"/>
        <c:crossAx val="231305647"/>
        <c:crosses val="autoZero"/>
        <c:auto val="1"/>
        <c:lblAlgn val="ctr"/>
        <c:lblOffset val="100"/>
        <c:noMultiLvlLbl val="0"/>
      </c:catAx>
      <c:valAx>
        <c:axId val="231305647"/>
        <c:scaling>
          <c:orientation val="minMax"/>
        </c:scaling>
        <c:delete val="0"/>
        <c:axPos val="l"/>
        <c:majorGridlines>
          <c:spPr>
            <a:ln w="9525" cap="flat" cmpd="sng" algn="ctr">
              <a:noFill/>
              <a:round/>
            </a:ln>
            <a:effectLst/>
          </c:spPr>
        </c:majorGridlines>
        <c:numFmt formatCode="_-&quot;$&quot;* #,##0_-;\-&quot;$&quot;* #,##0_-;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3130468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a:t>Comparing your (cost-reflective?)</a:t>
            </a:r>
            <a:r>
              <a:rPr lang="en-AU" baseline="0"/>
              <a:t> tariffs and home load factor</a:t>
            </a:r>
            <a:endParaRPr lang="en-AU"/>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AU"/>
        </a:p>
      </c:txPr>
    </c:title>
    <c:autoTitleDeleted val="0"/>
    <c:plotArea>
      <c:layout/>
      <c:lineChart>
        <c:grouping val="standard"/>
        <c:varyColors val="0"/>
        <c:ser>
          <c:idx val="1"/>
          <c:order val="1"/>
          <c:tx>
            <c:v>$/MWh avg</c:v>
          </c:tx>
          <c:spPr>
            <a:ln w="28575" cap="rnd">
              <a:solidFill>
                <a:schemeClr val="accent2"/>
              </a:solidFill>
              <a:round/>
            </a:ln>
            <a:effectLst/>
          </c:spPr>
          <c:marker>
            <c:symbol val="none"/>
          </c:marker>
          <c:cat>
            <c:strRef>
              <c:f>'Different homes'!$C$5:$C$15</c:f>
              <c:strCache>
                <c:ptCount val="11"/>
                <c:pt idx="0">
                  <c:v>Reference household</c:v>
                </c:pt>
                <c:pt idx="1">
                  <c:v>average solar home</c:v>
                </c:pt>
                <c:pt idx="2">
                  <c:v>average non-solar home</c:v>
                </c:pt>
                <c:pt idx="3">
                  <c:v>average gas home</c:v>
                </c:pt>
                <c:pt idx="4">
                  <c:v>average electric home</c:v>
                </c:pt>
                <c:pt idx="5">
                  <c:v>big gas home</c:v>
                </c:pt>
                <c:pt idx="6">
                  <c:v>big solar home</c:v>
                </c:pt>
                <c:pt idx="7">
                  <c:v>big electric home</c:v>
                </c:pt>
                <c:pt idx="8">
                  <c:v>Efficient Electrify Everything home (based on big home, EV, with solar, no battery)</c:v>
                </c:pt>
                <c:pt idx="9">
                  <c:v>Efficient Electrify Everything home with battery and load flex (reduced grid impact)</c:v>
                </c:pt>
                <c:pt idx="10">
                  <c:v>My original reference household (your tariffs)</c:v>
                </c:pt>
              </c:strCache>
            </c:strRef>
          </c:cat>
          <c:val>
            <c:numRef>
              <c:f>'Different homes'!$AX$5:$AX$15</c:f>
              <c:numCache>
                <c:formatCode>_-"$"* #,##0_-;\-"$"* #,##0_-;_-"$"* "-"??_-;_-@_-</c:formatCode>
                <c:ptCount val="11"/>
                <c:pt idx="0">
                  <c:v>333.37826101697959</c:v>
                </c:pt>
                <c:pt idx="1">
                  <c:v>433.77174062129541</c:v>
                </c:pt>
                <c:pt idx="2">
                  <c:v>303.0206686559136</c:v>
                </c:pt>
                <c:pt idx="3">
                  <c:v>361.12231990520553</c:v>
                </c:pt>
                <c:pt idx="4">
                  <c:v>317.3011705809331</c:v>
                </c:pt>
                <c:pt idx="5">
                  <c:v>460.48443777469129</c:v>
                </c:pt>
                <c:pt idx="6">
                  <c:v>494.69920648385892</c:v>
                </c:pt>
                <c:pt idx="7">
                  <c:v>332.72052318786479</c:v>
                </c:pt>
                <c:pt idx="8">
                  <c:v>317.41786623809531</c:v>
                </c:pt>
                <c:pt idx="9">
                  <c:v>285.69211454018199</c:v>
                </c:pt>
                <c:pt idx="10">
                  <c:v>333.37826101697965</c:v>
                </c:pt>
              </c:numCache>
            </c:numRef>
          </c:val>
          <c:smooth val="0"/>
          <c:extLst>
            <c:ext xmlns:c16="http://schemas.microsoft.com/office/drawing/2014/chart" uri="{C3380CC4-5D6E-409C-BE32-E72D297353CC}">
              <c16:uniqueId val="{00000000-1A75-4B53-BD83-52269B3D0A99}"/>
            </c:ext>
          </c:extLst>
        </c:ser>
        <c:dLbls>
          <c:showLegendKey val="0"/>
          <c:showVal val="0"/>
          <c:showCatName val="0"/>
          <c:showSerName val="0"/>
          <c:showPercent val="0"/>
          <c:showBubbleSize val="0"/>
        </c:dLbls>
        <c:marker val="1"/>
        <c:smooth val="0"/>
        <c:axId val="72066768"/>
        <c:axId val="72059568"/>
      </c:lineChart>
      <c:lineChart>
        <c:grouping val="standard"/>
        <c:varyColors val="0"/>
        <c:ser>
          <c:idx val="0"/>
          <c:order val="0"/>
          <c:tx>
            <c:v>Load Factor (ratio of peak to average)</c:v>
          </c:tx>
          <c:spPr>
            <a:ln w="28575" cap="rnd">
              <a:solidFill>
                <a:schemeClr val="accent1"/>
              </a:solidFill>
              <a:round/>
            </a:ln>
            <a:effectLst/>
          </c:spPr>
          <c:marker>
            <c:symbol val="none"/>
          </c:marker>
          <c:cat>
            <c:strRef>
              <c:f>'Different homes'!$C$5:$C$15</c:f>
              <c:strCache>
                <c:ptCount val="11"/>
                <c:pt idx="0">
                  <c:v>Reference household</c:v>
                </c:pt>
                <c:pt idx="1">
                  <c:v>average solar home</c:v>
                </c:pt>
                <c:pt idx="2">
                  <c:v>average non-solar home</c:v>
                </c:pt>
                <c:pt idx="3">
                  <c:v>average gas home</c:v>
                </c:pt>
                <c:pt idx="4">
                  <c:v>average electric home</c:v>
                </c:pt>
                <c:pt idx="5">
                  <c:v>big gas home</c:v>
                </c:pt>
                <c:pt idx="6">
                  <c:v>big solar home</c:v>
                </c:pt>
                <c:pt idx="7">
                  <c:v>big electric home</c:v>
                </c:pt>
                <c:pt idx="8">
                  <c:v>Efficient Electrify Everything home (based on big home, EV, with solar, no battery)</c:v>
                </c:pt>
                <c:pt idx="9">
                  <c:v>Efficient Electrify Everything home with battery and load flex (reduced grid impact)</c:v>
                </c:pt>
                <c:pt idx="10">
                  <c:v>My original reference household (your tariffs)</c:v>
                </c:pt>
              </c:strCache>
            </c:strRef>
          </c:cat>
          <c:val>
            <c:numRef>
              <c:f>'Different homes'!$H$5:$H$15</c:f>
              <c:numCache>
                <c:formatCode>0%</c:formatCode>
                <c:ptCount val="11"/>
                <c:pt idx="0">
                  <c:v>0.35279024782792179</c:v>
                </c:pt>
                <c:pt idx="1">
                  <c:v>0.26012002870512535</c:v>
                </c:pt>
                <c:pt idx="2">
                  <c:v>0.39855432474750158</c:v>
                </c:pt>
                <c:pt idx="3">
                  <c:v>0.41986898693851527</c:v>
                </c:pt>
                <c:pt idx="4">
                  <c:v>0.34747778229394383</c:v>
                </c:pt>
                <c:pt idx="5">
                  <c:v>0.14269406392694065</c:v>
                </c:pt>
                <c:pt idx="6">
                  <c:v>0.13698630136986303</c:v>
                </c:pt>
                <c:pt idx="7">
                  <c:v>0.27397260273972607</c:v>
                </c:pt>
                <c:pt idx="8">
                  <c:v>0.53272450532724502</c:v>
                </c:pt>
                <c:pt idx="9">
                  <c:v>1.8264840182648401</c:v>
                </c:pt>
                <c:pt idx="10">
                  <c:v>0.35279024782792179</c:v>
                </c:pt>
              </c:numCache>
            </c:numRef>
          </c:val>
          <c:smooth val="0"/>
          <c:extLst>
            <c:ext xmlns:c16="http://schemas.microsoft.com/office/drawing/2014/chart" uri="{C3380CC4-5D6E-409C-BE32-E72D297353CC}">
              <c16:uniqueId val="{00000001-1A75-4B53-BD83-52269B3D0A99}"/>
            </c:ext>
          </c:extLst>
        </c:ser>
        <c:dLbls>
          <c:showLegendKey val="0"/>
          <c:showVal val="0"/>
          <c:showCatName val="0"/>
          <c:showSerName val="0"/>
          <c:showPercent val="0"/>
          <c:showBubbleSize val="0"/>
        </c:dLbls>
        <c:marker val="1"/>
        <c:smooth val="0"/>
        <c:axId val="1896180223"/>
        <c:axId val="1896162463"/>
      </c:lineChart>
      <c:catAx>
        <c:axId val="72066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059568"/>
        <c:crosses val="autoZero"/>
        <c:auto val="1"/>
        <c:lblAlgn val="ctr"/>
        <c:lblOffset val="100"/>
        <c:noMultiLvlLbl val="0"/>
      </c:catAx>
      <c:valAx>
        <c:axId val="7205956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AU"/>
                  <a:t>$/MWh avg</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066768"/>
        <c:crosses val="autoZero"/>
        <c:crossBetween val="between"/>
      </c:valAx>
      <c:valAx>
        <c:axId val="1896162463"/>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AU"/>
                  <a:t>load factor (ratio</a:t>
                </a:r>
                <a:r>
                  <a:rPr lang="en-AU" baseline="0"/>
                  <a:t> of peak to average load (kW))</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96180223"/>
        <c:crosses val="max"/>
        <c:crossBetween val="between"/>
      </c:valAx>
      <c:catAx>
        <c:axId val="1896180223"/>
        <c:scaling>
          <c:orientation val="minMax"/>
        </c:scaling>
        <c:delete val="1"/>
        <c:axPos val="b"/>
        <c:numFmt formatCode="General" sourceLinked="1"/>
        <c:majorTickMark val="out"/>
        <c:minorTickMark val="none"/>
        <c:tickLblPos val="nextTo"/>
        <c:crossAx val="1896162463"/>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a:t>$/MWh vs load factor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38100" cap="rnd">
              <a:noFill/>
              <a:round/>
            </a:ln>
            <a:effectLst/>
          </c:spPr>
          <c:marker>
            <c:symbol val="circle"/>
            <c:size val="5"/>
            <c:spPr>
              <a:solidFill>
                <a:schemeClr val="accent1"/>
              </a:solidFill>
              <a:ln w="9525">
                <a:solidFill>
                  <a:schemeClr val="accent1"/>
                </a:solidFill>
              </a:ln>
              <a:effectLst/>
            </c:spPr>
          </c:marker>
          <c:dLbls>
            <c:dLbl>
              <c:idx val="0"/>
              <c:layout>
                <c:manualLayout>
                  <c:x val="-4.2326973789534879E-2"/>
                  <c:y val="0.134832941611817"/>
                </c:manualLayout>
              </c:layout>
              <c:tx>
                <c:rich>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fld id="{07119E97-D653-4DE0-927F-BAA1137469CA}" type="CELLRANGE">
                      <a:rPr lang="en-US"/>
                      <a:pPr>
                        <a:defRPr/>
                      </a:pPr>
                      <a:t>[]</a:t>
                    </a:fld>
                    <a:endParaRPr/>
                  </a:p>
                </c:rich>
              </c:tx>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endParaRPr lang="en-AU"/>
                </a:p>
              </c:txPr>
              <c:showLegendKey val="0"/>
              <c:showVal val="0"/>
              <c:showCatName val="0"/>
              <c:showSerName val="0"/>
              <c:showPercent val="0"/>
              <c:showBubbleSize val="0"/>
              <c:extLst>
                <c:ext xmlns:c15="http://schemas.microsoft.com/office/drawing/2012/chart" uri="{CE6537A1-D6FC-4f65-9D91-7224C49458BB}">
                  <c15:layout>
                    <c:manualLayout>
                      <c:w val="9.5217538282796402E-2"/>
                      <c:h val="9.1543714355559455E-2"/>
                    </c:manualLayout>
                  </c15:layout>
                  <c15:dlblFieldTable/>
                  <c15:showDataLabelsRange val="1"/>
                </c:ext>
                <c:ext xmlns:c16="http://schemas.microsoft.com/office/drawing/2014/chart" uri="{C3380CC4-5D6E-409C-BE32-E72D297353CC}">
                  <c16:uniqueId val="{00000000-EEB9-4F8E-A184-DC17BB1C1353}"/>
                </c:ext>
              </c:extLst>
            </c:dLbl>
            <c:dLbl>
              <c:idx val="1"/>
              <c:layout>
                <c:manualLayout>
                  <c:x val="-6.0692144109303998E-3"/>
                  <c:y val="-3.0933524058730653E-2"/>
                </c:manualLayout>
              </c:layout>
              <c:tx>
                <c:rich>
                  <a:bodyPr/>
                  <a:lstStyle/>
                  <a:p>
                    <a:fld id="{CC3A3C5C-D4C5-44FD-B582-B90CC4742372}"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EEB9-4F8E-A184-DC17BB1C1353}"/>
                </c:ext>
              </c:extLst>
            </c:dLbl>
            <c:dLbl>
              <c:idx val="2"/>
              <c:layout>
                <c:manualLayout>
                  <c:x val="-0.16539194554969727"/>
                  <c:y val="-3.2478857358574274E-2"/>
                </c:manualLayout>
              </c:layout>
              <c:tx>
                <c:rich>
                  <a:bodyPr/>
                  <a:lstStyle/>
                  <a:p>
                    <a:fld id="{D588AE57-FE96-4AAA-81C3-40F4751A0750}"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layout>
                    <c:manualLayout>
                      <c:w val="0.1079058779097678"/>
                      <c:h val="8.3337581715031486E-2"/>
                    </c:manualLayout>
                  </c15:layout>
                  <c15:dlblFieldTable/>
                  <c15:showDataLabelsRange val="1"/>
                </c:ext>
                <c:ext xmlns:c16="http://schemas.microsoft.com/office/drawing/2014/chart" uri="{C3380CC4-5D6E-409C-BE32-E72D297353CC}">
                  <c16:uniqueId val="{00000002-EEB9-4F8E-A184-DC17BB1C1353}"/>
                </c:ext>
              </c:extLst>
            </c:dLbl>
            <c:dLbl>
              <c:idx val="3"/>
              <c:layout>
                <c:manualLayout>
                  <c:x val="9.7636888557070062E-2"/>
                  <c:y val="2.0741884326803923E-2"/>
                </c:manualLayout>
              </c:layout>
              <c:tx>
                <c:rich>
                  <a:bodyPr/>
                  <a:lstStyle/>
                  <a:p>
                    <a:fld id="{ACB3825D-2DA8-4C16-A2A0-566769CBA2C5}"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EEB9-4F8E-A184-DC17BB1C1353}"/>
                </c:ext>
              </c:extLst>
            </c:dLbl>
            <c:dLbl>
              <c:idx val="4"/>
              <c:layout>
                <c:manualLayout>
                  <c:x val="8.2355413977999448E-3"/>
                  <c:y val="5.4877486204779292E-3"/>
                </c:manualLayout>
              </c:layout>
              <c:tx>
                <c:rich>
                  <a:bodyPr/>
                  <a:lstStyle/>
                  <a:p>
                    <a:fld id="{13001F70-C970-4195-A837-DAA320E4E2F5}"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4-EEB9-4F8E-A184-DC17BB1C1353}"/>
                </c:ext>
              </c:extLst>
            </c:dLbl>
            <c:dLbl>
              <c:idx val="5"/>
              <c:layout>
                <c:manualLayout>
                  <c:x val="-4.9009594560732537E-3"/>
                  <c:y val="3.7899709510166094E-2"/>
                </c:manualLayout>
              </c:layout>
              <c:tx>
                <c:rich>
                  <a:bodyPr/>
                  <a:lstStyle/>
                  <a:p>
                    <a:fld id="{99157490-E5C9-4004-AEB1-D0C9AD7DA397}"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EEB9-4F8E-A184-DC17BB1C1353}"/>
                </c:ext>
              </c:extLst>
            </c:dLbl>
            <c:dLbl>
              <c:idx val="6"/>
              <c:layout>
                <c:manualLayout>
                  <c:x val="-7.6781698145147653E-2"/>
                  <c:y val="-3.4741400384318943E-2"/>
                </c:manualLayout>
              </c:layout>
              <c:tx>
                <c:rich>
                  <a:bodyPr/>
                  <a:lstStyle/>
                  <a:p>
                    <a:fld id="{ACDA48B8-5A6A-4136-9EBF-AF3002BABCF6}"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EEB9-4F8E-A184-DC17BB1C1353}"/>
                </c:ext>
              </c:extLst>
            </c:dLbl>
            <c:dLbl>
              <c:idx val="7"/>
              <c:layout>
                <c:manualLayout>
                  <c:x val="-0.12211088956361217"/>
                  <c:y val="4.4216327761860449E-2"/>
                </c:manualLayout>
              </c:layout>
              <c:tx>
                <c:rich>
                  <a:bodyPr/>
                  <a:lstStyle/>
                  <a:p>
                    <a:fld id="{98964B4E-B77A-4B64-9FD2-C3700B12CEE4}"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EEB9-4F8E-A184-DC17BB1C1353}"/>
                </c:ext>
              </c:extLst>
            </c:dLbl>
            <c:dLbl>
              <c:idx val="8"/>
              <c:layout>
                <c:manualLayout>
                  <c:x val="0"/>
                  <c:y val="0.13683769582874969"/>
                </c:manualLayout>
              </c:layout>
              <c:tx>
                <c:rich>
                  <a:bodyPr/>
                  <a:lstStyle/>
                  <a:p>
                    <a:fld id="{01C54B7D-6276-4D29-8956-36E3EC2D904E}"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8-EEB9-4F8E-A184-DC17BB1C1353}"/>
                </c:ext>
              </c:extLst>
            </c:dLbl>
            <c:dLbl>
              <c:idx val="9"/>
              <c:layout>
                <c:manualLayout>
                  <c:x val="-1.1668185291701187E-2"/>
                  <c:y val="0.12317405590803998"/>
                </c:manualLayout>
              </c:layout>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1"/>
                </c:ext>
                <c:ext xmlns:c16="http://schemas.microsoft.com/office/drawing/2014/chart" uri="{C3380CC4-5D6E-409C-BE32-E72D297353CC}">
                  <c16:uniqueId val="{00000009-EEB9-4F8E-A184-DC17BB1C1353}"/>
                </c:ext>
              </c:extLst>
            </c:dLbl>
            <c:dLbl>
              <c:idx val="10"/>
              <c:layout>
                <c:manualLayout>
                  <c:x val="0.18412673135075583"/>
                  <c:y val="-0.18611617255707902"/>
                </c:manualLayout>
              </c:layout>
              <c:tx>
                <c:rich>
                  <a:bodyPr/>
                  <a:lstStyle/>
                  <a:p>
                    <a:fld id="{6C7BAB01-4DD6-40C4-B328-6776DBB587C5}"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A-EEB9-4F8E-A184-DC17BB1C135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trendline>
            <c:spPr>
              <a:ln w="19050" cap="rnd">
                <a:solidFill>
                  <a:schemeClr val="accent1"/>
                </a:solidFill>
                <a:prstDash val="sysDot"/>
              </a:ln>
              <a:effectLst/>
            </c:spPr>
            <c:trendlineType val="linear"/>
            <c:dispRSqr val="0"/>
            <c:dispEq val="0"/>
          </c:trendline>
          <c:xVal>
            <c:numRef>
              <c:f>'Different homes'!$I$5:$I$15</c:f>
              <c:numCache>
                <c:formatCode>_-* #,##0.00_-;\-* #,##0.00_-;_-* "-"??_-;_-@_-</c:formatCode>
                <c:ptCount val="11"/>
                <c:pt idx="0">
                  <c:v>0.35279024782792179</c:v>
                </c:pt>
                <c:pt idx="1">
                  <c:v>0.26012002870512535</c:v>
                </c:pt>
                <c:pt idx="2">
                  <c:v>0.39855432474750158</c:v>
                </c:pt>
                <c:pt idx="3">
                  <c:v>0.41986898693851527</c:v>
                </c:pt>
                <c:pt idx="4">
                  <c:v>0.34747778229394383</c:v>
                </c:pt>
                <c:pt idx="5">
                  <c:v>0.14269406392694065</c:v>
                </c:pt>
                <c:pt idx="6">
                  <c:v>0.13698630136986303</c:v>
                </c:pt>
                <c:pt idx="7">
                  <c:v>0.27397260273972607</c:v>
                </c:pt>
                <c:pt idx="8">
                  <c:v>0.53272450532724502</c:v>
                </c:pt>
                <c:pt idx="10">
                  <c:v>0.35279024782792179</c:v>
                </c:pt>
              </c:numCache>
            </c:numRef>
          </c:xVal>
          <c:yVal>
            <c:numRef>
              <c:f>'Different homes'!$AX$5:$AX$15</c:f>
              <c:numCache>
                <c:formatCode>_-"$"* #,##0_-;\-"$"* #,##0_-;_-"$"* "-"??_-;_-@_-</c:formatCode>
                <c:ptCount val="11"/>
                <c:pt idx="0">
                  <c:v>333.37826101697959</c:v>
                </c:pt>
                <c:pt idx="1">
                  <c:v>433.77174062129541</c:v>
                </c:pt>
                <c:pt idx="2">
                  <c:v>303.0206686559136</c:v>
                </c:pt>
                <c:pt idx="3">
                  <c:v>361.12231990520553</c:v>
                </c:pt>
                <c:pt idx="4">
                  <c:v>317.3011705809331</c:v>
                </c:pt>
                <c:pt idx="5">
                  <c:v>460.48443777469129</c:v>
                </c:pt>
                <c:pt idx="6">
                  <c:v>494.69920648385892</c:v>
                </c:pt>
                <c:pt idx="7">
                  <c:v>332.72052318786479</c:v>
                </c:pt>
                <c:pt idx="8">
                  <c:v>317.41786623809531</c:v>
                </c:pt>
                <c:pt idx="9">
                  <c:v>285.69211454018199</c:v>
                </c:pt>
                <c:pt idx="10">
                  <c:v>333.37826101697965</c:v>
                </c:pt>
              </c:numCache>
            </c:numRef>
          </c:yVal>
          <c:smooth val="0"/>
          <c:extLst>
            <c:ext xmlns:c15="http://schemas.microsoft.com/office/drawing/2012/chart" uri="{02D57815-91ED-43cb-92C2-25804820EDAC}">
              <c15:datalabelsRange>
                <c15:f>'Different homes'!$C$5:$C$15</c15:f>
                <c15:dlblRangeCache>
                  <c:ptCount val="11"/>
                  <c:pt idx="0">
                    <c:v>Reference household</c:v>
                  </c:pt>
                  <c:pt idx="1">
                    <c:v>average solar home</c:v>
                  </c:pt>
                  <c:pt idx="2">
                    <c:v>average non-solar home</c:v>
                  </c:pt>
                  <c:pt idx="3">
                    <c:v>average gas home</c:v>
                  </c:pt>
                  <c:pt idx="4">
                    <c:v>average electric home</c:v>
                  </c:pt>
                  <c:pt idx="5">
                    <c:v>big gas home</c:v>
                  </c:pt>
                  <c:pt idx="6">
                    <c:v>big solar home</c:v>
                  </c:pt>
                  <c:pt idx="7">
                    <c:v>big electric home</c:v>
                  </c:pt>
                  <c:pt idx="8">
                    <c:v>Efficient Electrify Everything home (based on big home, EV, with solar, no battery)</c:v>
                  </c:pt>
                  <c:pt idx="9">
                    <c:v>Efficient Electrify Everything home with battery and load flex (reduced grid impact)</c:v>
                  </c:pt>
                  <c:pt idx="10">
                    <c:v>My original reference household (your tariffs)</c:v>
                  </c:pt>
                </c15:dlblRangeCache>
              </c15:datalabelsRange>
            </c:ext>
            <c:ext xmlns:c16="http://schemas.microsoft.com/office/drawing/2014/chart" uri="{C3380CC4-5D6E-409C-BE32-E72D297353CC}">
              <c16:uniqueId val="{0000000C-EEB9-4F8E-A184-DC17BB1C1353}"/>
            </c:ext>
          </c:extLst>
        </c:ser>
        <c:ser>
          <c:idx val="1"/>
          <c:order val="1"/>
          <c:tx>
            <c:v>outlier</c:v>
          </c:tx>
          <c:spPr>
            <a:ln w="25400" cap="rnd">
              <a:noFill/>
              <a:round/>
            </a:ln>
            <a:effectLst/>
          </c:spPr>
          <c:marker>
            <c:symbol val="diamond"/>
            <c:size val="8"/>
            <c:spPr>
              <a:solidFill>
                <a:srgbClr val="92D050"/>
              </a:solidFill>
              <a:ln w="9525">
                <a:solidFill>
                  <a:srgbClr val="92D050"/>
                </a:solidFill>
              </a:ln>
              <a:effectLst/>
            </c:spPr>
          </c:marker>
          <c:dLbls>
            <c:dLbl>
              <c:idx val="0"/>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D-EEB9-4F8E-A184-DC17BB1C1353}"/>
                </c:ext>
              </c:extLst>
            </c:dLbl>
            <c:dLbl>
              <c:idx val="1"/>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E-EEB9-4F8E-A184-DC17BB1C1353}"/>
                </c:ext>
              </c:extLst>
            </c:dLbl>
            <c:dLbl>
              <c:idx val="2"/>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F-EEB9-4F8E-A184-DC17BB1C1353}"/>
                </c:ext>
              </c:extLst>
            </c:dLbl>
            <c:dLbl>
              <c:idx val="3"/>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0-EEB9-4F8E-A184-DC17BB1C1353}"/>
                </c:ext>
              </c:extLst>
            </c:dLbl>
            <c:dLbl>
              <c:idx val="4"/>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1-EEB9-4F8E-A184-DC17BB1C1353}"/>
                </c:ext>
              </c:extLst>
            </c:dLbl>
            <c:dLbl>
              <c:idx val="5"/>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2-EEB9-4F8E-A184-DC17BB1C1353}"/>
                </c:ext>
              </c:extLst>
            </c:dLbl>
            <c:dLbl>
              <c:idx val="6"/>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3-EEB9-4F8E-A184-DC17BB1C1353}"/>
                </c:ext>
              </c:extLst>
            </c:dLbl>
            <c:dLbl>
              <c:idx val="7"/>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4-EEB9-4F8E-A184-DC17BB1C1353}"/>
                </c:ext>
              </c:extLst>
            </c:dLbl>
            <c:dLbl>
              <c:idx val="8"/>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5-EEB9-4F8E-A184-DC17BB1C1353}"/>
                </c:ext>
              </c:extLst>
            </c:dLbl>
            <c:dLbl>
              <c:idx val="9"/>
              <c:layout>
                <c:manualLayout>
                  <c:x val="-2.4794893744865022E-2"/>
                  <c:y val="0.1200157467821928"/>
                </c:manualLayout>
              </c:layout>
              <c:tx>
                <c:rich>
                  <a:bodyPr/>
                  <a:lstStyle/>
                  <a:p>
                    <a:fld id="{0BF5F2A9-4D40-49E3-B0AE-BA7D75CE5A61}"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6-EEB9-4F8E-A184-DC17BB1C1353}"/>
                </c:ext>
              </c:extLst>
            </c:dLbl>
            <c:dLbl>
              <c:idx val="10"/>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7-EEB9-4F8E-A184-DC17BB1C135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xVal>
            <c:numRef>
              <c:f>'Different homes'!$J$5:$J$15</c:f>
              <c:numCache>
                <c:formatCode>0%</c:formatCode>
                <c:ptCount val="11"/>
                <c:pt idx="9" formatCode="_-* #,##0.00_-;\-* #,##0.00_-;_-* &quot;-&quot;??_-;_-@_-">
                  <c:v>1.8264840182648401</c:v>
                </c:pt>
              </c:numCache>
            </c:numRef>
          </c:xVal>
          <c:yVal>
            <c:numRef>
              <c:f>'Different homes'!$AX$5:$AX$15</c:f>
              <c:numCache>
                <c:formatCode>_-"$"* #,##0_-;\-"$"* #,##0_-;_-"$"* "-"??_-;_-@_-</c:formatCode>
                <c:ptCount val="11"/>
                <c:pt idx="0">
                  <c:v>333.37826101697959</c:v>
                </c:pt>
                <c:pt idx="1">
                  <c:v>433.77174062129541</c:v>
                </c:pt>
                <c:pt idx="2">
                  <c:v>303.0206686559136</c:v>
                </c:pt>
                <c:pt idx="3">
                  <c:v>361.12231990520553</c:v>
                </c:pt>
                <c:pt idx="4">
                  <c:v>317.3011705809331</c:v>
                </c:pt>
                <c:pt idx="5">
                  <c:v>460.48443777469129</c:v>
                </c:pt>
                <c:pt idx="6">
                  <c:v>494.69920648385892</c:v>
                </c:pt>
                <c:pt idx="7">
                  <c:v>332.72052318786479</c:v>
                </c:pt>
                <c:pt idx="8">
                  <c:v>317.41786623809531</c:v>
                </c:pt>
                <c:pt idx="9">
                  <c:v>285.69211454018199</c:v>
                </c:pt>
                <c:pt idx="10">
                  <c:v>333.37826101697965</c:v>
                </c:pt>
              </c:numCache>
            </c:numRef>
          </c:yVal>
          <c:smooth val="0"/>
          <c:extLst>
            <c:ext xmlns:c15="http://schemas.microsoft.com/office/drawing/2012/chart" uri="{02D57815-91ED-43cb-92C2-25804820EDAC}">
              <c15:datalabelsRange>
                <c15:f>'Different homes'!$C$5:$C$15</c15:f>
                <c15:dlblRangeCache>
                  <c:ptCount val="11"/>
                  <c:pt idx="0">
                    <c:v>Reference household</c:v>
                  </c:pt>
                  <c:pt idx="1">
                    <c:v>average solar home</c:v>
                  </c:pt>
                  <c:pt idx="2">
                    <c:v>average non-solar home</c:v>
                  </c:pt>
                  <c:pt idx="3">
                    <c:v>average gas home</c:v>
                  </c:pt>
                  <c:pt idx="4">
                    <c:v>average electric home</c:v>
                  </c:pt>
                  <c:pt idx="5">
                    <c:v>big gas home</c:v>
                  </c:pt>
                  <c:pt idx="6">
                    <c:v>big solar home</c:v>
                  </c:pt>
                  <c:pt idx="7">
                    <c:v>big electric home</c:v>
                  </c:pt>
                  <c:pt idx="8">
                    <c:v>Efficient Electrify Everything home (based on big home, EV, with solar, no battery)</c:v>
                  </c:pt>
                  <c:pt idx="9">
                    <c:v>Efficient Electrify Everything home with battery and load flex (reduced grid impact)</c:v>
                  </c:pt>
                  <c:pt idx="10">
                    <c:v>My original reference household (your tariffs)</c:v>
                  </c:pt>
                </c15:dlblRangeCache>
              </c15:datalabelsRange>
            </c:ext>
            <c:ext xmlns:c16="http://schemas.microsoft.com/office/drawing/2014/chart" uri="{C3380CC4-5D6E-409C-BE32-E72D297353CC}">
              <c16:uniqueId val="{00000018-EEB9-4F8E-A184-DC17BB1C1353}"/>
            </c:ext>
          </c:extLst>
        </c:ser>
        <c:dLbls>
          <c:showLegendKey val="0"/>
          <c:showVal val="1"/>
          <c:showCatName val="0"/>
          <c:showSerName val="0"/>
          <c:showPercent val="0"/>
          <c:showBubbleSize val="0"/>
        </c:dLbls>
        <c:axId val="1202411488"/>
        <c:axId val="1202411968"/>
      </c:scatterChart>
      <c:valAx>
        <c:axId val="1202411488"/>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AU"/>
                  <a:t>Load</a:t>
                </a:r>
                <a:r>
                  <a:rPr lang="en-AU" baseline="0"/>
                  <a:t> Factor (ratio between average and peak load)</a:t>
                </a:r>
                <a:endParaRPr lang="en-AU"/>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AU"/>
            </a:p>
          </c:txPr>
        </c:title>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02411968"/>
        <c:crosses val="autoZero"/>
        <c:crossBetween val="midCat"/>
      </c:valAx>
      <c:valAx>
        <c:axId val="120241196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AU"/>
                  <a:t>$/MWh</a:t>
                </a:r>
                <a:r>
                  <a:rPr lang="en-AU" baseline="0"/>
                  <a:t> avg</a:t>
                </a:r>
                <a:endParaRPr lang="en-AU"/>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AU"/>
            </a:p>
          </c:txPr>
        </c:title>
        <c:numFmt formatCode="_-&quot;$&quot;* #,##0_-;\-&quot;$&quot;* #,##0_-;_-&quot;$&quot;* &quot;-&quot;??_-;_-@_-"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02411488"/>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AU" sz="1600"/>
              <a:t>Comparisons of hrs, kWh,</a:t>
            </a:r>
            <a:r>
              <a:rPr lang="en-AU" sz="1600" baseline="0"/>
              <a:t> peak kW and cost based on reference home </a:t>
            </a:r>
          </a:p>
          <a:p>
            <a:pPr>
              <a:defRPr sz="1600"/>
            </a:pPr>
            <a:r>
              <a:rPr lang="en-AU" sz="1100" baseline="0"/>
              <a:t>(NB Note on costs: self consumed solar is not included because it is not a market cost - but the value exists! Likewise, locally consumed is likely undervalued)</a:t>
            </a:r>
            <a:endParaRPr lang="en-AU" sz="1100"/>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Lookups!$A$167</c:f>
              <c:strCache>
                <c:ptCount val="1"/>
                <c:pt idx="0">
                  <c:v>.</c:v>
                </c:pt>
              </c:strCache>
            </c:strRef>
          </c:tx>
          <c:spPr>
            <a:noFill/>
            <a:ln>
              <a:noFill/>
            </a:ln>
            <a:effectLst/>
          </c:spPr>
          <c:invertIfNegative val="0"/>
          <c:cat>
            <c:multiLvlStrRef>
              <c:f>Lookups!$B$165:$V$166</c:f>
              <c:multiLvlStrCache>
                <c:ptCount val="21"/>
                <c:lvl>
                  <c:pt idx="0">
                    <c:v>NEM 2024</c:v>
                  </c:pt>
                  <c:pt idx="1">
                    <c:v>RE future</c:v>
                  </c:pt>
                  <c:pt idx="2">
                    <c:v>Reference home</c:v>
                  </c:pt>
                  <c:pt idx="3">
                    <c:v>fully electrified without battery</c:v>
                  </c:pt>
                  <c:pt idx="4">
                    <c:v>Reference home</c:v>
                  </c:pt>
                  <c:pt idx="5">
                    <c:v>fully electrified without battery</c:v>
                  </c:pt>
                  <c:pt idx="7">
                    <c:v>Reference home</c:v>
                  </c:pt>
                  <c:pt idx="8">
                    <c:v>fully electrified without battery</c:v>
                  </c:pt>
                  <c:pt idx="9">
                    <c:v>Reference home</c:v>
                  </c:pt>
                  <c:pt idx="10">
                    <c:v>fully electrified without battery</c:v>
                  </c:pt>
                  <c:pt idx="11">
                    <c:v>now</c:v>
                  </c:pt>
                  <c:pt idx="12">
                    <c:v>renewable, electrified future</c:v>
                  </c:pt>
                  <c:pt idx="13">
                    <c:v>Generation</c:v>
                  </c:pt>
                  <c:pt idx="14">
                    <c:v>Networks</c:v>
                  </c:pt>
                  <c:pt idx="15">
                    <c:v>Retail</c:v>
                  </c:pt>
                  <c:pt idx="16">
                    <c:v>Govt</c:v>
                  </c:pt>
                  <c:pt idx="17">
                    <c:v>Generation</c:v>
                  </c:pt>
                  <c:pt idx="18">
                    <c:v>Networks</c:v>
                  </c:pt>
                  <c:pt idx="19">
                    <c:v>Retail</c:v>
                  </c:pt>
                  <c:pt idx="20">
                    <c:v>Govt</c:v>
                  </c:pt>
                </c:lvl>
                <c:lvl>
                  <c:pt idx="0">
                    <c:v>hours</c:v>
                  </c:pt>
                  <c:pt idx="2">
                    <c:v>kWh</c:v>
                  </c:pt>
                  <c:pt idx="4">
                    <c:v>peak kW</c:v>
                  </c:pt>
                  <c:pt idx="7">
                    <c:v>flat tariff - costs</c:v>
                  </c:pt>
                  <c:pt idx="9">
                    <c:v>your tariff - costs</c:v>
                  </c:pt>
                  <c:pt idx="11">
                    <c:v>Total costs</c:v>
                  </c:pt>
                  <c:pt idx="13">
                    <c:v>Price stack - now</c:v>
                  </c:pt>
                  <c:pt idx="17">
                    <c:v>Price stack - renewable, electrified future</c:v>
                  </c:pt>
                </c:lvl>
              </c:multiLvlStrCache>
            </c:multiLvlStrRef>
          </c:cat>
          <c:val>
            <c:numRef>
              <c:f>Lookups!$B$167:$V$167</c:f>
              <c:numCache>
                <c:formatCode>_-* #,##0.00_-;\-* #,##0.00_-;_-* "-"??_-;_-@_-</c:formatCode>
                <c:ptCount val="21"/>
                <c:pt idx="14" formatCode="General">
                  <c:v>0.36634952896620482</c:v>
                </c:pt>
                <c:pt idx="15" formatCode="General">
                  <c:v>0.76299784243207447</c:v>
                </c:pt>
                <c:pt idx="16" formatCode="General">
                  <c:v>0.9318838616948335</c:v>
                </c:pt>
                <c:pt idx="17" formatCode="General">
                  <c:v>0</c:v>
                </c:pt>
                <c:pt idx="18" formatCode="General">
                  <c:v>0.71865496657340644</c:v>
                </c:pt>
                <c:pt idx="19" formatCode="General">
                  <c:v>1.5412342341688752</c:v>
                </c:pt>
                <c:pt idx="20" formatCode="General">
                  <c:v>1.729065380556861</c:v>
                </c:pt>
              </c:numCache>
            </c:numRef>
          </c:val>
          <c:extLst>
            <c:ext xmlns:c16="http://schemas.microsoft.com/office/drawing/2014/chart" uri="{C3380CC4-5D6E-409C-BE32-E72D297353CC}">
              <c16:uniqueId val="{00000000-C504-443F-B5EC-C2144C0E1BB9}"/>
            </c:ext>
          </c:extLst>
        </c:ser>
        <c:ser>
          <c:idx val="1"/>
          <c:order val="1"/>
          <c:tx>
            <c:strRef>
              <c:f>Lookups!$A$168</c:f>
              <c:strCache>
                <c:ptCount val="1"/>
                <c:pt idx="0">
                  <c:v>Residual &amp; Carbon price</c:v>
                </c:pt>
              </c:strCache>
            </c:strRef>
          </c:tx>
          <c:spPr>
            <a:solidFill>
              <a:srgbClr val="CDABFF"/>
            </a:solidFill>
            <a:ln>
              <a:noFill/>
            </a:ln>
            <a:effectLst/>
          </c:spPr>
          <c:invertIfNegative val="0"/>
          <c:cat>
            <c:multiLvlStrRef>
              <c:f>Lookups!$B$165:$V$166</c:f>
              <c:multiLvlStrCache>
                <c:ptCount val="21"/>
                <c:lvl>
                  <c:pt idx="0">
                    <c:v>NEM 2024</c:v>
                  </c:pt>
                  <c:pt idx="1">
                    <c:v>RE future</c:v>
                  </c:pt>
                  <c:pt idx="2">
                    <c:v>Reference home</c:v>
                  </c:pt>
                  <c:pt idx="3">
                    <c:v>fully electrified without battery</c:v>
                  </c:pt>
                  <c:pt idx="4">
                    <c:v>Reference home</c:v>
                  </c:pt>
                  <c:pt idx="5">
                    <c:v>fully electrified without battery</c:v>
                  </c:pt>
                  <c:pt idx="7">
                    <c:v>Reference home</c:v>
                  </c:pt>
                  <c:pt idx="8">
                    <c:v>fully electrified without battery</c:v>
                  </c:pt>
                  <c:pt idx="9">
                    <c:v>Reference home</c:v>
                  </c:pt>
                  <c:pt idx="10">
                    <c:v>fully electrified without battery</c:v>
                  </c:pt>
                  <c:pt idx="11">
                    <c:v>now</c:v>
                  </c:pt>
                  <c:pt idx="12">
                    <c:v>renewable, electrified future</c:v>
                  </c:pt>
                  <c:pt idx="13">
                    <c:v>Generation</c:v>
                  </c:pt>
                  <c:pt idx="14">
                    <c:v>Networks</c:v>
                  </c:pt>
                  <c:pt idx="15">
                    <c:v>Retail</c:v>
                  </c:pt>
                  <c:pt idx="16">
                    <c:v>Govt</c:v>
                  </c:pt>
                  <c:pt idx="17">
                    <c:v>Generation</c:v>
                  </c:pt>
                  <c:pt idx="18">
                    <c:v>Networks</c:v>
                  </c:pt>
                  <c:pt idx="19">
                    <c:v>Retail</c:v>
                  </c:pt>
                  <c:pt idx="20">
                    <c:v>Govt</c:v>
                  </c:pt>
                </c:lvl>
                <c:lvl>
                  <c:pt idx="0">
                    <c:v>hours</c:v>
                  </c:pt>
                  <c:pt idx="2">
                    <c:v>kWh</c:v>
                  </c:pt>
                  <c:pt idx="4">
                    <c:v>peak kW</c:v>
                  </c:pt>
                  <c:pt idx="7">
                    <c:v>flat tariff - costs</c:v>
                  </c:pt>
                  <c:pt idx="9">
                    <c:v>your tariff - costs</c:v>
                  </c:pt>
                  <c:pt idx="11">
                    <c:v>Total costs</c:v>
                  </c:pt>
                  <c:pt idx="13">
                    <c:v>Price stack - now</c:v>
                  </c:pt>
                  <c:pt idx="17">
                    <c:v>Price stack - renewable, electrified future</c:v>
                  </c:pt>
                </c:lvl>
              </c:multiLvlStrCache>
            </c:multiLvlStrRef>
          </c:cat>
          <c:val>
            <c:numRef>
              <c:f>Lookups!$B$168:$V$168</c:f>
              <c:numCache>
                <c:formatCode>_-* #,##0.00_-;\-* #,##0.00_-;_-* "-"??_-;_-@_-</c:formatCode>
                <c:ptCount val="21"/>
                <c:pt idx="6" formatCode="General">
                  <c:v>0</c:v>
                </c:pt>
                <c:pt idx="7" formatCode="General">
                  <c:v>0</c:v>
                </c:pt>
                <c:pt idx="8" formatCode="General">
                  <c:v>0</c:v>
                </c:pt>
                <c:pt idx="9" formatCode="General">
                  <c:v>0</c:v>
                </c:pt>
                <c:pt idx="10" formatCode="General">
                  <c:v>0</c:v>
                </c:pt>
                <c:pt idx="11">
                  <c:v>0.2798229461370238</c:v>
                </c:pt>
                <c:pt idx="12" formatCode="_-&quot;$&quot;* #,##0.00_-;\-&quot;$&quot;* #,##0.00_-;_-&quot;$&quot;* &quot;-&quot;??_-;_-@_-">
                  <c:v>0.52096556909818292</c:v>
                </c:pt>
                <c:pt idx="13" formatCode="_-&quot;$&quot;* #,##0.00_-;\-&quot;$&quot;* #,##0.00_-;_-&quot;$&quot;* &quot;-&quot;??_-;_-@_-">
                  <c:v>0.11673699417441114</c:v>
                </c:pt>
                <c:pt idx="14" formatCode="_-&quot;$&quot;* #,##0.00_-;\-&quot;$&quot;* #,##0.00_-;_-&quot;$&quot;* &quot;-&quot;??_-;_-@_-">
                  <c:v>0.13985590857589403</c:v>
                </c:pt>
                <c:pt idx="15" formatCode="_-&quot;$&quot;* #,##0.00_-;\-&quot;$&quot;* #,##0.00_-;_-&quot;$&quot;* &quot;-&quot;??_-;_-@_-">
                  <c:v>1.6814803957754001E-2</c:v>
                </c:pt>
                <c:pt idx="16" formatCode="_-&quot;$&quot;* #,##0.00_-;\-&quot;$&quot;* #,##0.00_-;_-&quot;$&quot;* &quot;-&quot;??_-;_-@_-">
                  <c:v>6.4152394289647271E-3</c:v>
                </c:pt>
                <c:pt idx="17" formatCode="_-&quot;$&quot;* #,##0.00_-;\-&quot;$&quot;* #,##0.00_-;_-&quot;$&quot;* &quot;-&quot;??_-;_-@_-">
                  <c:v>7.3274870473758746E-2</c:v>
                </c:pt>
                <c:pt idx="18" formatCode="_-&quot;$&quot;* #,##0.00_-;\-&quot;$&quot;* #,##0.00_-;_-&quot;$&quot;* &quot;-&quot;??_-;_-@_-">
                  <c:v>0.38392141483436509</c:v>
                </c:pt>
                <c:pt idx="19" formatCode="_-&quot;$&quot;* #,##0.00_-;\-&quot;$&quot;* #,##0.00_-;_-&quot;$&quot;* &quot;-&quot;??_-;_-@_-">
                  <c:v>4.615867424807605E-2</c:v>
                </c:pt>
                <c:pt idx="20" formatCode="_-&quot;$&quot;* #,##0.00_-;\-&quot;$&quot;* #,##0.00_-;_-&quot;$&quot;* &quot;-&quot;??_-;_-@_-">
                  <c:v>1.7610609541983006E-2</c:v>
                </c:pt>
              </c:numCache>
            </c:numRef>
          </c:val>
          <c:extLst>
            <c:ext xmlns:c16="http://schemas.microsoft.com/office/drawing/2014/chart" uri="{C3380CC4-5D6E-409C-BE32-E72D297353CC}">
              <c16:uniqueId val="{00000001-C504-443F-B5EC-C2144C0E1BB9}"/>
            </c:ext>
          </c:extLst>
        </c:ser>
        <c:ser>
          <c:idx val="2"/>
          <c:order val="2"/>
          <c:tx>
            <c:strRef>
              <c:f>Lookups!$A$169</c:f>
              <c:strCache>
                <c:ptCount val="1"/>
                <c:pt idx="0">
                  <c:v>Fixed costs</c:v>
                </c:pt>
              </c:strCache>
            </c:strRef>
          </c:tx>
          <c:spPr>
            <a:solidFill>
              <a:srgbClr val="7030A0"/>
            </a:solidFill>
            <a:ln>
              <a:noFill/>
            </a:ln>
            <a:effectLst/>
          </c:spPr>
          <c:invertIfNegative val="0"/>
          <c:cat>
            <c:multiLvlStrRef>
              <c:f>Lookups!$B$165:$V$166</c:f>
              <c:multiLvlStrCache>
                <c:ptCount val="21"/>
                <c:lvl>
                  <c:pt idx="0">
                    <c:v>NEM 2024</c:v>
                  </c:pt>
                  <c:pt idx="1">
                    <c:v>RE future</c:v>
                  </c:pt>
                  <c:pt idx="2">
                    <c:v>Reference home</c:v>
                  </c:pt>
                  <c:pt idx="3">
                    <c:v>fully electrified without battery</c:v>
                  </c:pt>
                  <c:pt idx="4">
                    <c:v>Reference home</c:v>
                  </c:pt>
                  <c:pt idx="5">
                    <c:v>fully electrified without battery</c:v>
                  </c:pt>
                  <c:pt idx="7">
                    <c:v>Reference home</c:v>
                  </c:pt>
                  <c:pt idx="8">
                    <c:v>fully electrified without battery</c:v>
                  </c:pt>
                  <c:pt idx="9">
                    <c:v>Reference home</c:v>
                  </c:pt>
                  <c:pt idx="10">
                    <c:v>fully electrified without battery</c:v>
                  </c:pt>
                  <c:pt idx="11">
                    <c:v>now</c:v>
                  </c:pt>
                  <c:pt idx="12">
                    <c:v>renewable, electrified future</c:v>
                  </c:pt>
                  <c:pt idx="13">
                    <c:v>Generation</c:v>
                  </c:pt>
                  <c:pt idx="14">
                    <c:v>Networks</c:v>
                  </c:pt>
                  <c:pt idx="15">
                    <c:v>Retail</c:v>
                  </c:pt>
                  <c:pt idx="16">
                    <c:v>Govt</c:v>
                  </c:pt>
                  <c:pt idx="17">
                    <c:v>Generation</c:v>
                  </c:pt>
                  <c:pt idx="18">
                    <c:v>Networks</c:v>
                  </c:pt>
                  <c:pt idx="19">
                    <c:v>Retail</c:v>
                  </c:pt>
                  <c:pt idx="20">
                    <c:v>Govt</c:v>
                  </c:pt>
                </c:lvl>
                <c:lvl>
                  <c:pt idx="0">
                    <c:v>hours</c:v>
                  </c:pt>
                  <c:pt idx="2">
                    <c:v>kWh</c:v>
                  </c:pt>
                  <c:pt idx="4">
                    <c:v>peak kW</c:v>
                  </c:pt>
                  <c:pt idx="7">
                    <c:v>flat tariff - costs</c:v>
                  </c:pt>
                  <c:pt idx="9">
                    <c:v>your tariff - costs</c:v>
                  </c:pt>
                  <c:pt idx="11">
                    <c:v>Total costs</c:v>
                  </c:pt>
                  <c:pt idx="13">
                    <c:v>Price stack - now</c:v>
                  </c:pt>
                  <c:pt idx="17">
                    <c:v>Price stack - renewable, electrified future</c:v>
                  </c:pt>
                </c:lvl>
              </c:multiLvlStrCache>
            </c:multiLvlStrRef>
          </c:cat>
          <c:val>
            <c:numRef>
              <c:f>Lookups!$B$169:$V$169</c:f>
              <c:numCache>
                <c:formatCode>_-* #,##0.00_-;\-* #,##0.00_-;_-* "-"??_-;_-@_-</c:formatCode>
                <c:ptCount val="21"/>
                <c:pt idx="6" formatCode="General">
                  <c:v>0</c:v>
                </c:pt>
                <c:pt idx="7" formatCode="General">
                  <c:v>0.20433245260932451</c:v>
                </c:pt>
                <c:pt idx="8" formatCode="General">
                  <c:v>0.20433245260932451</c:v>
                </c:pt>
                <c:pt idx="9" formatCode="General">
                  <c:v>0.20433245260932442</c:v>
                </c:pt>
                <c:pt idx="10" formatCode="General">
                  <c:v>0.20433245260932442</c:v>
                </c:pt>
                <c:pt idx="11" formatCode="General">
                  <c:v>0.20433245260932445</c:v>
                </c:pt>
                <c:pt idx="12" formatCode="General">
                  <c:v>0.20433245260932445</c:v>
                </c:pt>
                <c:pt idx="13" formatCode="General">
                  <c:v>0</c:v>
                </c:pt>
                <c:pt idx="14" formatCode="_-&quot;$&quot;* #,##0.00_-;\-&quot;$&quot;* #,##0.00_-;_-&quot;$&quot;* &quot;-&quot;??_-;_-@_-">
                  <c:v>6.7259215831015587E-2</c:v>
                </c:pt>
                <c:pt idx="15" formatCode="_-&quot;$&quot;* #,##0.00_-;\-&quot;$&quot;* #,##0.00_-;_-&quot;$&quot;* &quot;-&quot;??_-;_-@_-">
                  <c:v>0.15207121530500506</c:v>
                </c:pt>
                <c:pt idx="16" formatCode="General">
                  <c:v>0</c:v>
                </c:pt>
                <c:pt idx="17" formatCode="General">
                  <c:v>0</c:v>
                </c:pt>
                <c:pt idx="18" formatCode="_-&quot;$&quot;* #,##0.00_-;\-&quot;$&quot;* #,##0.00_-;_-&quot;$&quot;* &quot;-&quot;??_-;_-@_-">
                  <c:v>6.2659980469414511E-2</c:v>
                </c:pt>
                <c:pt idx="19" formatCode="_-&quot;$&quot;* #,##0.00_-;\-&quot;$&quot;* #,##0.00_-;_-&quot;$&quot;* &quot;-&quot;??_-;_-@_-">
                  <c:v>0.14167247213990994</c:v>
                </c:pt>
                <c:pt idx="20" formatCode="General">
                  <c:v>0</c:v>
                </c:pt>
              </c:numCache>
            </c:numRef>
          </c:val>
          <c:extLst>
            <c:ext xmlns:c16="http://schemas.microsoft.com/office/drawing/2014/chart" uri="{C3380CC4-5D6E-409C-BE32-E72D297353CC}">
              <c16:uniqueId val="{00000002-C504-443F-B5EC-C2144C0E1BB9}"/>
            </c:ext>
          </c:extLst>
        </c:ser>
        <c:ser>
          <c:idx val="3"/>
          <c:order val="3"/>
          <c:tx>
            <c:strRef>
              <c:f>Lookups!$A$170</c:f>
              <c:strCache>
                <c:ptCount val="1"/>
                <c:pt idx="0">
                  <c:v>self-consumed</c:v>
                </c:pt>
              </c:strCache>
            </c:strRef>
          </c:tx>
          <c:spPr>
            <a:solidFill>
              <a:schemeClr val="accent2"/>
            </a:solidFill>
            <a:ln>
              <a:noFill/>
            </a:ln>
            <a:effectLst/>
          </c:spPr>
          <c:invertIfNegative val="0"/>
          <c:cat>
            <c:multiLvlStrRef>
              <c:f>Lookups!$B$165:$V$166</c:f>
              <c:multiLvlStrCache>
                <c:ptCount val="21"/>
                <c:lvl>
                  <c:pt idx="0">
                    <c:v>NEM 2024</c:v>
                  </c:pt>
                  <c:pt idx="1">
                    <c:v>RE future</c:v>
                  </c:pt>
                  <c:pt idx="2">
                    <c:v>Reference home</c:v>
                  </c:pt>
                  <c:pt idx="3">
                    <c:v>fully electrified without battery</c:v>
                  </c:pt>
                  <c:pt idx="4">
                    <c:v>Reference home</c:v>
                  </c:pt>
                  <c:pt idx="5">
                    <c:v>fully electrified without battery</c:v>
                  </c:pt>
                  <c:pt idx="7">
                    <c:v>Reference home</c:v>
                  </c:pt>
                  <c:pt idx="8">
                    <c:v>fully electrified without battery</c:v>
                  </c:pt>
                  <c:pt idx="9">
                    <c:v>Reference home</c:v>
                  </c:pt>
                  <c:pt idx="10">
                    <c:v>fully electrified without battery</c:v>
                  </c:pt>
                  <c:pt idx="11">
                    <c:v>now</c:v>
                  </c:pt>
                  <c:pt idx="12">
                    <c:v>renewable, electrified future</c:v>
                  </c:pt>
                  <c:pt idx="13">
                    <c:v>Generation</c:v>
                  </c:pt>
                  <c:pt idx="14">
                    <c:v>Networks</c:v>
                  </c:pt>
                  <c:pt idx="15">
                    <c:v>Retail</c:v>
                  </c:pt>
                  <c:pt idx="16">
                    <c:v>Govt</c:v>
                  </c:pt>
                  <c:pt idx="17">
                    <c:v>Generation</c:v>
                  </c:pt>
                  <c:pt idx="18">
                    <c:v>Networks</c:v>
                  </c:pt>
                  <c:pt idx="19">
                    <c:v>Retail</c:v>
                  </c:pt>
                  <c:pt idx="20">
                    <c:v>Govt</c:v>
                  </c:pt>
                </c:lvl>
                <c:lvl>
                  <c:pt idx="0">
                    <c:v>hours</c:v>
                  </c:pt>
                  <c:pt idx="2">
                    <c:v>kWh</c:v>
                  </c:pt>
                  <c:pt idx="4">
                    <c:v>peak kW</c:v>
                  </c:pt>
                  <c:pt idx="7">
                    <c:v>flat tariff - costs</c:v>
                  </c:pt>
                  <c:pt idx="9">
                    <c:v>your tariff - costs</c:v>
                  </c:pt>
                  <c:pt idx="11">
                    <c:v>Total costs</c:v>
                  </c:pt>
                  <c:pt idx="13">
                    <c:v>Price stack - now</c:v>
                  </c:pt>
                  <c:pt idx="17">
                    <c:v>Price stack - renewable, electrified future</c:v>
                  </c:pt>
                </c:lvl>
              </c:multiLvlStrCache>
            </c:multiLvlStrRef>
          </c:cat>
          <c:val>
            <c:numRef>
              <c:f>Lookups!$B$170:$V$170</c:f>
              <c:numCache>
                <c:formatCode>_-* #,##0.00_-;\-* #,##0.00_-;_-* "-"??_-;_-@_-</c:formatCode>
                <c:ptCount val="21"/>
                <c:pt idx="0">
                  <c:v>0</c:v>
                </c:pt>
                <c:pt idx="1">
                  <c:v>0</c:v>
                </c:pt>
                <c:pt idx="2">
                  <c:v>-0.12972035707149671</c:v>
                </c:pt>
                <c:pt idx="3">
                  <c:v>-0.47087796863330339</c:v>
                </c:pt>
                <c:pt idx="4">
                  <c:v>-0.37056933377105283</c:v>
                </c:pt>
                <c:pt idx="5">
                  <c:v>-0.92756737398155598</c:v>
                </c:pt>
                <c:pt idx="6" formatCode="General">
                  <c:v>0</c:v>
                </c:pt>
                <c:pt idx="7" formatCode="General">
                  <c:v>0</c:v>
                </c:pt>
                <c:pt idx="8" formatCode="General">
                  <c:v>0</c:v>
                </c:pt>
                <c:pt idx="9" formatCode="General">
                  <c:v>0</c:v>
                </c:pt>
                <c:pt idx="10" formatCode="General">
                  <c:v>0</c:v>
                </c:pt>
                <c:pt idx="11" formatCode="General">
                  <c:v>0</c:v>
                </c:pt>
                <c:pt idx="12" formatCode="General">
                  <c:v>0</c:v>
                </c:pt>
                <c:pt idx="13" formatCode="General">
                  <c:v>0</c:v>
                </c:pt>
                <c:pt idx="14" formatCode="General">
                  <c:v>0</c:v>
                </c:pt>
                <c:pt idx="15" formatCode="General">
                  <c:v>0</c:v>
                </c:pt>
                <c:pt idx="16" formatCode="General">
                  <c:v>0</c:v>
                </c:pt>
                <c:pt idx="17" formatCode="General">
                  <c:v>0</c:v>
                </c:pt>
                <c:pt idx="18" formatCode="General">
                  <c:v>0</c:v>
                </c:pt>
                <c:pt idx="19" formatCode="General">
                  <c:v>0</c:v>
                </c:pt>
                <c:pt idx="20" formatCode="General">
                  <c:v>0</c:v>
                </c:pt>
              </c:numCache>
            </c:numRef>
          </c:val>
          <c:extLst>
            <c:ext xmlns:c16="http://schemas.microsoft.com/office/drawing/2014/chart" uri="{C3380CC4-5D6E-409C-BE32-E72D297353CC}">
              <c16:uniqueId val="{00000003-C504-443F-B5EC-C2144C0E1BB9}"/>
            </c:ext>
          </c:extLst>
        </c:ser>
        <c:ser>
          <c:idx val="4"/>
          <c:order val="4"/>
          <c:tx>
            <c:strRef>
              <c:f>Lookups!$A$171</c:f>
              <c:strCache>
                <c:ptCount val="1"/>
                <c:pt idx="0">
                  <c:v>locally consumed</c:v>
                </c:pt>
              </c:strCache>
            </c:strRef>
          </c:tx>
          <c:spPr>
            <a:solidFill>
              <a:schemeClr val="accent4">
                <a:lumMod val="75000"/>
              </a:schemeClr>
            </a:solidFill>
            <a:ln>
              <a:noFill/>
            </a:ln>
            <a:effectLst/>
          </c:spPr>
          <c:invertIfNegative val="0"/>
          <c:cat>
            <c:multiLvlStrRef>
              <c:f>Lookups!$B$165:$V$166</c:f>
              <c:multiLvlStrCache>
                <c:ptCount val="21"/>
                <c:lvl>
                  <c:pt idx="0">
                    <c:v>NEM 2024</c:v>
                  </c:pt>
                  <c:pt idx="1">
                    <c:v>RE future</c:v>
                  </c:pt>
                  <c:pt idx="2">
                    <c:v>Reference home</c:v>
                  </c:pt>
                  <c:pt idx="3">
                    <c:v>fully electrified without battery</c:v>
                  </c:pt>
                  <c:pt idx="4">
                    <c:v>Reference home</c:v>
                  </c:pt>
                  <c:pt idx="5">
                    <c:v>fully electrified without battery</c:v>
                  </c:pt>
                  <c:pt idx="7">
                    <c:v>Reference home</c:v>
                  </c:pt>
                  <c:pt idx="8">
                    <c:v>fully electrified without battery</c:v>
                  </c:pt>
                  <c:pt idx="9">
                    <c:v>Reference home</c:v>
                  </c:pt>
                  <c:pt idx="10">
                    <c:v>fully electrified without battery</c:v>
                  </c:pt>
                  <c:pt idx="11">
                    <c:v>now</c:v>
                  </c:pt>
                  <c:pt idx="12">
                    <c:v>renewable, electrified future</c:v>
                  </c:pt>
                  <c:pt idx="13">
                    <c:v>Generation</c:v>
                  </c:pt>
                  <c:pt idx="14">
                    <c:v>Networks</c:v>
                  </c:pt>
                  <c:pt idx="15">
                    <c:v>Retail</c:v>
                  </c:pt>
                  <c:pt idx="16">
                    <c:v>Govt</c:v>
                  </c:pt>
                  <c:pt idx="17">
                    <c:v>Generation</c:v>
                  </c:pt>
                  <c:pt idx="18">
                    <c:v>Networks</c:v>
                  </c:pt>
                  <c:pt idx="19">
                    <c:v>Retail</c:v>
                  </c:pt>
                  <c:pt idx="20">
                    <c:v>Govt</c:v>
                  </c:pt>
                </c:lvl>
                <c:lvl>
                  <c:pt idx="0">
                    <c:v>hours</c:v>
                  </c:pt>
                  <c:pt idx="2">
                    <c:v>kWh</c:v>
                  </c:pt>
                  <c:pt idx="4">
                    <c:v>peak kW</c:v>
                  </c:pt>
                  <c:pt idx="7">
                    <c:v>flat tariff - costs</c:v>
                  </c:pt>
                  <c:pt idx="9">
                    <c:v>your tariff - costs</c:v>
                  </c:pt>
                  <c:pt idx="11">
                    <c:v>Total costs</c:v>
                  </c:pt>
                  <c:pt idx="13">
                    <c:v>Price stack - now</c:v>
                  </c:pt>
                  <c:pt idx="17">
                    <c:v>Price stack - renewable, electrified future</c:v>
                  </c:pt>
                </c:lvl>
              </c:multiLvlStrCache>
            </c:multiLvlStrRef>
          </c:cat>
          <c:val>
            <c:numRef>
              <c:f>Lookups!$B$171:$V$171</c:f>
              <c:numCache>
                <c:formatCode>_-* #,##0.00_-;\-* #,##0.00_-;_-* "-"??_-;_-@_-</c:formatCode>
                <c:ptCount val="21"/>
                <c:pt idx="0">
                  <c:v>0</c:v>
                </c:pt>
                <c:pt idx="1">
                  <c:v>0</c:v>
                </c:pt>
                <c:pt idx="2">
                  <c:v>0.26718645595990326</c:v>
                </c:pt>
                <c:pt idx="3">
                  <c:v>0</c:v>
                </c:pt>
                <c:pt idx="4">
                  <c:v>0.22134678325921947</c:v>
                </c:pt>
                <c:pt idx="5">
                  <c:v>0</c:v>
                </c:pt>
                <c:pt idx="6" formatCode="General">
                  <c:v>0</c:v>
                </c:pt>
                <c:pt idx="7" formatCode="General">
                  <c:v>0.21259159210962297</c:v>
                </c:pt>
                <c:pt idx="8" formatCode="General">
                  <c:v>0</c:v>
                </c:pt>
                <c:pt idx="9" formatCode="General">
                  <c:v>4.3948820083817626E-2</c:v>
                </c:pt>
                <c:pt idx="10" formatCode="General">
                  <c:v>0</c:v>
                </c:pt>
                <c:pt idx="11" formatCode="General">
                  <c:v>4.3948820083817633E-2</c:v>
                </c:pt>
                <c:pt idx="12" formatCode="General">
                  <c:v>3.6575272651968166E-2</c:v>
                </c:pt>
                <c:pt idx="13" formatCode="General">
                  <c:v>0</c:v>
                </c:pt>
                <c:pt idx="14" formatCode="General">
                  <c:v>4.1090352127934951E-3</c:v>
                </c:pt>
                <c:pt idx="15" formatCode="General">
                  <c:v>0</c:v>
                </c:pt>
                <c:pt idx="16" formatCode="General">
                  <c:v>5.6347852854978691E-3</c:v>
                </c:pt>
                <c:pt idx="17" formatCode="_-&quot;$&quot;* #,##0.00_-;\-&quot;$&quot;* #,##0.00_-;_-&quot;$&quot;* &quot;-&quot;??_-;_-@_-">
                  <c:v>-1.4423105352609435E-2</c:v>
                </c:pt>
                <c:pt idx="18" formatCode="General">
                  <c:v>2.1506362011996131E-2</c:v>
                </c:pt>
                <c:pt idx="19" formatCode="General">
                  <c:v>0</c:v>
                </c:pt>
                <c:pt idx="20" formatCode="General">
                  <c:v>2.9492015992581472E-2</c:v>
                </c:pt>
              </c:numCache>
            </c:numRef>
          </c:val>
          <c:extLst>
            <c:ext xmlns:c16="http://schemas.microsoft.com/office/drawing/2014/chart" uri="{C3380CC4-5D6E-409C-BE32-E72D297353CC}">
              <c16:uniqueId val="{00000004-C504-443F-B5EC-C2144C0E1BB9}"/>
            </c:ext>
          </c:extLst>
        </c:ser>
        <c:ser>
          <c:idx val="5"/>
          <c:order val="5"/>
          <c:tx>
            <c:strRef>
              <c:f>Lookups!$A$172</c:f>
              <c:strCache>
                <c:ptCount val="1"/>
                <c:pt idx="0">
                  <c:v>wind surplus times</c:v>
                </c:pt>
              </c:strCache>
            </c:strRef>
          </c:tx>
          <c:spPr>
            <a:solidFill>
              <a:schemeClr val="accent1"/>
            </a:solidFill>
            <a:ln>
              <a:noFill/>
            </a:ln>
            <a:effectLst/>
          </c:spPr>
          <c:invertIfNegative val="0"/>
          <c:cat>
            <c:multiLvlStrRef>
              <c:f>Lookups!$B$165:$V$166</c:f>
              <c:multiLvlStrCache>
                <c:ptCount val="21"/>
                <c:lvl>
                  <c:pt idx="0">
                    <c:v>NEM 2024</c:v>
                  </c:pt>
                  <c:pt idx="1">
                    <c:v>RE future</c:v>
                  </c:pt>
                  <c:pt idx="2">
                    <c:v>Reference home</c:v>
                  </c:pt>
                  <c:pt idx="3">
                    <c:v>fully electrified without battery</c:v>
                  </c:pt>
                  <c:pt idx="4">
                    <c:v>Reference home</c:v>
                  </c:pt>
                  <c:pt idx="5">
                    <c:v>fully electrified without battery</c:v>
                  </c:pt>
                  <c:pt idx="7">
                    <c:v>Reference home</c:v>
                  </c:pt>
                  <c:pt idx="8">
                    <c:v>fully electrified without battery</c:v>
                  </c:pt>
                  <c:pt idx="9">
                    <c:v>Reference home</c:v>
                  </c:pt>
                  <c:pt idx="10">
                    <c:v>fully electrified without battery</c:v>
                  </c:pt>
                  <c:pt idx="11">
                    <c:v>now</c:v>
                  </c:pt>
                  <c:pt idx="12">
                    <c:v>renewable, electrified future</c:v>
                  </c:pt>
                  <c:pt idx="13">
                    <c:v>Generation</c:v>
                  </c:pt>
                  <c:pt idx="14">
                    <c:v>Networks</c:v>
                  </c:pt>
                  <c:pt idx="15">
                    <c:v>Retail</c:v>
                  </c:pt>
                  <c:pt idx="16">
                    <c:v>Govt</c:v>
                  </c:pt>
                  <c:pt idx="17">
                    <c:v>Generation</c:v>
                  </c:pt>
                  <c:pt idx="18">
                    <c:v>Networks</c:v>
                  </c:pt>
                  <c:pt idx="19">
                    <c:v>Retail</c:v>
                  </c:pt>
                  <c:pt idx="20">
                    <c:v>Govt</c:v>
                  </c:pt>
                </c:lvl>
                <c:lvl>
                  <c:pt idx="0">
                    <c:v>hours</c:v>
                  </c:pt>
                  <c:pt idx="2">
                    <c:v>kWh</c:v>
                  </c:pt>
                  <c:pt idx="4">
                    <c:v>peak kW</c:v>
                  </c:pt>
                  <c:pt idx="7">
                    <c:v>flat tariff - costs</c:v>
                  </c:pt>
                  <c:pt idx="9">
                    <c:v>your tariff - costs</c:v>
                  </c:pt>
                  <c:pt idx="11">
                    <c:v>Total costs</c:v>
                  </c:pt>
                  <c:pt idx="13">
                    <c:v>Price stack - now</c:v>
                  </c:pt>
                  <c:pt idx="17">
                    <c:v>Price stack - renewable, electrified future</c:v>
                  </c:pt>
                </c:lvl>
              </c:multiLvlStrCache>
            </c:multiLvlStrRef>
          </c:cat>
          <c:val>
            <c:numRef>
              <c:f>Lookups!$B$172:$V$172</c:f>
              <c:numCache>
                <c:formatCode>_-* #,##0.00_-;\-* #,##0.00_-;_-* "-"??_-;_-@_-</c:formatCode>
                <c:ptCount val="21"/>
                <c:pt idx="0">
                  <c:v>9.1324200913242004E-2</c:v>
                </c:pt>
                <c:pt idx="1">
                  <c:v>0.45662100456621002</c:v>
                </c:pt>
                <c:pt idx="2">
                  <c:v>1.9473381427182433E-2</c:v>
                </c:pt>
                <c:pt idx="3">
                  <c:v>4.0360968739997435E-2</c:v>
                </c:pt>
                <c:pt idx="4">
                  <c:v>0</c:v>
                </c:pt>
                <c:pt idx="5">
                  <c:v>0</c:v>
                </c:pt>
                <c:pt idx="6" formatCode="General">
                  <c:v>0</c:v>
                </c:pt>
                <c:pt idx="7" formatCode="General">
                  <c:v>1.549433763956938E-2</c:v>
                </c:pt>
                <c:pt idx="8" formatCode="General">
                  <c:v>3.211391300766548E-2</c:v>
                </c:pt>
                <c:pt idx="9" formatCode="General">
                  <c:v>3.2031269462821548E-3</c:v>
                </c:pt>
                <c:pt idx="10" formatCode="General">
                  <c:v>6.6388730191807759E-3</c:v>
                </c:pt>
                <c:pt idx="11" formatCode="General">
                  <c:v>3.2031269462821552E-3</c:v>
                </c:pt>
                <c:pt idx="12" formatCode="General">
                  <c:v>0.16535711501478048</c:v>
                </c:pt>
                <c:pt idx="13" formatCode="General">
                  <c:v>0</c:v>
                </c:pt>
                <c:pt idx="14" formatCode="General">
                  <c:v>4.1090352127934951E-3</c:v>
                </c:pt>
                <c:pt idx="15" formatCode="General">
                  <c:v>0</c:v>
                </c:pt>
                <c:pt idx="16" formatCode="General">
                  <c:v>5.6347852854978691E-3</c:v>
                </c:pt>
                <c:pt idx="17" formatCode="_-&quot;$&quot;* #,##0.00_-;\-&quot;$&quot;* #,##0.00_-;_-&quot;$&quot;* &quot;-&quot;??_-;_-@_-">
                  <c:v>2.9361440335906864E-2</c:v>
                </c:pt>
                <c:pt idx="18" formatCode="General">
                  <c:v>5.7350298698656349E-2</c:v>
                </c:pt>
                <c:pt idx="19" formatCode="General">
                  <c:v>0</c:v>
                </c:pt>
                <c:pt idx="20" formatCode="General">
                  <c:v>7.8645375980217258E-2</c:v>
                </c:pt>
              </c:numCache>
            </c:numRef>
          </c:val>
          <c:extLst>
            <c:ext xmlns:c16="http://schemas.microsoft.com/office/drawing/2014/chart" uri="{C3380CC4-5D6E-409C-BE32-E72D297353CC}">
              <c16:uniqueId val="{00000005-C504-443F-B5EC-C2144C0E1BB9}"/>
            </c:ext>
          </c:extLst>
        </c:ser>
        <c:ser>
          <c:idx val="6"/>
          <c:order val="6"/>
          <c:tx>
            <c:strRef>
              <c:f>Lookups!$A$173</c:f>
              <c:strCache>
                <c:ptCount val="1"/>
                <c:pt idx="0">
                  <c:v>solar surplus times</c:v>
                </c:pt>
              </c:strCache>
            </c:strRef>
          </c:tx>
          <c:spPr>
            <a:solidFill>
              <a:schemeClr val="accent3">
                <a:lumMod val="60000"/>
                <a:lumOff val="40000"/>
              </a:schemeClr>
            </a:solidFill>
            <a:ln>
              <a:noFill/>
            </a:ln>
            <a:effectLst/>
          </c:spPr>
          <c:invertIfNegative val="0"/>
          <c:cat>
            <c:multiLvlStrRef>
              <c:f>Lookups!$B$165:$V$166</c:f>
              <c:multiLvlStrCache>
                <c:ptCount val="21"/>
                <c:lvl>
                  <c:pt idx="0">
                    <c:v>NEM 2024</c:v>
                  </c:pt>
                  <c:pt idx="1">
                    <c:v>RE future</c:v>
                  </c:pt>
                  <c:pt idx="2">
                    <c:v>Reference home</c:v>
                  </c:pt>
                  <c:pt idx="3">
                    <c:v>fully electrified without battery</c:v>
                  </c:pt>
                  <c:pt idx="4">
                    <c:v>Reference home</c:v>
                  </c:pt>
                  <c:pt idx="5">
                    <c:v>fully electrified without battery</c:v>
                  </c:pt>
                  <c:pt idx="7">
                    <c:v>Reference home</c:v>
                  </c:pt>
                  <c:pt idx="8">
                    <c:v>fully electrified without battery</c:v>
                  </c:pt>
                  <c:pt idx="9">
                    <c:v>Reference home</c:v>
                  </c:pt>
                  <c:pt idx="10">
                    <c:v>fully electrified without battery</c:v>
                  </c:pt>
                  <c:pt idx="11">
                    <c:v>now</c:v>
                  </c:pt>
                  <c:pt idx="12">
                    <c:v>renewable, electrified future</c:v>
                  </c:pt>
                  <c:pt idx="13">
                    <c:v>Generation</c:v>
                  </c:pt>
                  <c:pt idx="14">
                    <c:v>Networks</c:v>
                  </c:pt>
                  <c:pt idx="15">
                    <c:v>Retail</c:v>
                  </c:pt>
                  <c:pt idx="16">
                    <c:v>Govt</c:v>
                  </c:pt>
                  <c:pt idx="17">
                    <c:v>Generation</c:v>
                  </c:pt>
                  <c:pt idx="18">
                    <c:v>Networks</c:v>
                  </c:pt>
                  <c:pt idx="19">
                    <c:v>Retail</c:v>
                  </c:pt>
                  <c:pt idx="20">
                    <c:v>Govt</c:v>
                  </c:pt>
                </c:lvl>
                <c:lvl>
                  <c:pt idx="0">
                    <c:v>hours</c:v>
                  </c:pt>
                  <c:pt idx="2">
                    <c:v>kWh</c:v>
                  </c:pt>
                  <c:pt idx="4">
                    <c:v>peak kW</c:v>
                  </c:pt>
                  <c:pt idx="7">
                    <c:v>flat tariff - costs</c:v>
                  </c:pt>
                  <c:pt idx="9">
                    <c:v>your tariff - costs</c:v>
                  </c:pt>
                  <c:pt idx="11">
                    <c:v>Total costs</c:v>
                  </c:pt>
                  <c:pt idx="13">
                    <c:v>Price stack - now</c:v>
                  </c:pt>
                  <c:pt idx="17">
                    <c:v>Price stack - renewable, electrified future</c:v>
                  </c:pt>
                </c:lvl>
              </c:multiLvlStrCache>
            </c:multiLvlStrRef>
          </c:cat>
          <c:val>
            <c:numRef>
              <c:f>Lookups!$B$173:$V$173</c:f>
              <c:numCache>
                <c:formatCode>_-* #,##0.00_-;\-* #,##0.00_-;_-* "-"??_-;_-@_-</c:formatCode>
                <c:ptCount val="21"/>
                <c:pt idx="0">
                  <c:v>9.1324200913242004E-2</c:v>
                </c:pt>
                <c:pt idx="1">
                  <c:v>0.17123287671232876</c:v>
                </c:pt>
                <c:pt idx="2">
                  <c:v>0</c:v>
                </c:pt>
                <c:pt idx="3">
                  <c:v>0</c:v>
                </c:pt>
                <c:pt idx="4">
                  <c:v>0</c:v>
                </c:pt>
                <c:pt idx="5">
                  <c:v>0</c:v>
                </c:pt>
                <c:pt idx="6" formatCode="General">
                  <c:v>0</c:v>
                </c:pt>
                <c:pt idx="7" formatCode="General">
                  <c:v>0</c:v>
                </c:pt>
                <c:pt idx="8" formatCode="General">
                  <c:v>0</c:v>
                </c:pt>
                <c:pt idx="9" formatCode="General">
                  <c:v>0</c:v>
                </c:pt>
                <c:pt idx="10" formatCode="General">
                  <c:v>0</c:v>
                </c:pt>
                <c:pt idx="11" formatCode="General">
                  <c:v>0</c:v>
                </c:pt>
                <c:pt idx="12" formatCode="General">
                  <c:v>0</c:v>
                </c:pt>
                <c:pt idx="13" formatCode="General">
                  <c:v>0</c:v>
                </c:pt>
                <c:pt idx="14" formatCode="General">
                  <c:v>0</c:v>
                </c:pt>
                <c:pt idx="15" formatCode="General">
                  <c:v>0</c:v>
                </c:pt>
                <c:pt idx="16" formatCode="General">
                  <c:v>0</c:v>
                </c:pt>
                <c:pt idx="17" formatCode="General">
                  <c:v>0</c:v>
                </c:pt>
                <c:pt idx="18" formatCode="General">
                  <c:v>0</c:v>
                </c:pt>
                <c:pt idx="19" formatCode="General">
                  <c:v>0</c:v>
                </c:pt>
                <c:pt idx="20" formatCode="General">
                  <c:v>0</c:v>
                </c:pt>
              </c:numCache>
            </c:numRef>
          </c:val>
          <c:extLst>
            <c:ext xmlns:c16="http://schemas.microsoft.com/office/drawing/2014/chart" uri="{C3380CC4-5D6E-409C-BE32-E72D297353CC}">
              <c16:uniqueId val="{00000006-C504-443F-B5EC-C2144C0E1BB9}"/>
            </c:ext>
          </c:extLst>
        </c:ser>
        <c:ser>
          <c:idx val="7"/>
          <c:order val="7"/>
          <c:tx>
            <c:strRef>
              <c:f>Lookups!$A$174</c:f>
              <c:strCache>
                <c:ptCount val="1"/>
                <c:pt idx="0">
                  <c:v>baseload times</c:v>
                </c:pt>
              </c:strCache>
            </c:strRef>
          </c:tx>
          <c:spPr>
            <a:solidFill>
              <a:schemeClr val="accent6">
                <a:lumMod val="25000"/>
              </a:schemeClr>
            </a:solidFill>
            <a:ln>
              <a:noFill/>
            </a:ln>
            <a:effectLst/>
          </c:spPr>
          <c:invertIfNegative val="0"/>
          <c:cat>
            <c:multiLvlStrRef>
              <c:f>Lookups!$B$165:$V$166</c:f>
              <c:multiLvlStrCache>
                <c:ptCount val="21"/>
                <c:lvl>
                  <c:pt idx="0">
                    <c:v>NEM 2024</c:v>
                  </c:pt>
                  <c:pt idx="1">
                    <c:v>RE future</c:v>
                  </c:pt>
                  <c:pt idx="2">
                    <c:v>Reference home</c:v>
                  </c:pt>
                  <c:pt idx="3">
                    <c:v>fully electrified without battery</c:v>
                  </c:pt>
                  <c:pt idx="4">
                    <c:v>Reference home</c:v>
                  </c:pt>
                  <c:pt idx="5">
                    <c:v>fully electrified without battery</c:v>
                  </c:pt>
                  <c:pt idx="7">
                    <c:v>Reference home</c:v>
                  </c:pt>
                  <c:pt idx="8">
                    <c:v>fully electrified without battery</c:v>
                  </c:pt>
                  <c:pt idx="9">
                    <c:v>Reference home</c:v>
                  </c:pt>
                  <c:pt idx="10">
                    <c:v>fully electrified without battery</c:v>
                  </c:pt>
                  <c:pt idx="11">
                    <c:v>now</c:v>
                  </c:pt>
                  <c:pt idx="12">
                    <c:v>renewable, electrified future</c:v>
                  </c:pt>
                  <c:pt idx="13">
                    <c:v>Generation</c:v>
                  </c:pt>
                  <c:pt idx="14">
                    <c:v>Networks</c:v>
                  </c:pt>
                  <c:pt idx="15">
                    <c:v>Retail</c:v>
                  </c:pt>
                  <c:pt idx="16">
                    <c:v>Govt</c:v>
                  </c:pt>
                  <c:pt idx="17">
                    <c:v>Generation</c:v>
                  </c:pt>
                  <c:pt idx="18">
                    <c:v>Networks</c:v>
                  </c:pt>
                  <c:pt idx="19">
                    <c:v>Retail</c:v>
                  </c:pt>
                  <c:pt idx="20">
                    <c:v>Govt</c:v>
                  </c:pt>
                </c:lvl>
                <c:lvl>
                  <c:pt idx="0">
                    <c:v>hours</c:v>
                  </c:pt>
                  <c:pt idx="2">
                    <c:v>kWh</c:v>
                  </c:pt>
                  <c:pt idx="4">
                    <c:v>peak kW</c:v>
                  </c:pt>
                  <c:pt idx="7">
                    <c:v>flat tariff - costs</c:v>
                  </c:pt>
                  <c:pt idx="9">
                    <c:v>your tariff - costs</c:v>
                  </c:pt>
                  <c:pt idx="11">
                    <c:v>Total costs</c:v>
                  </c:pt>
                  <c:pt idx="13">
                    <c:v>Price stack - now</c:v>
                  </c:pt>
                  <c:pt idx="17">
                    <c:v>Price stack - renewable, electrified future</c:v>
                  </c:pt>
                </c:lvl>
              </c:multiLvlStrCache>
            </c:multiLvlStrRef>
          </c:cat>
          <c:val>
            <c:numRef>
              <c:f>Lookups!$B$174:$V$174</c:f>
              <c:numCache>
                <c:formatCode>_-* #,##0.00_-;\-* #,##0.00_-;_-* "-"??_-;_-@_-</c:formatCode>
                <c:ptCount val="21"/>
                <c:pt idx="0">
                  <c:v>0.80593607305936077</c:v>
                </c:pt>
                <c:pt idx="1">
                  <c:v>0.36073059360730597</c:v>
                </c:pt>
                <c:pt idx="2">
                  <c:v>0.68696853520734469</c:v>
                </c:pt>
                <c:pt idx="3">
                  <c:v>2.5299413715518297</c:v>
                </c:pt>
                <c:pt idx="4">
                  <c:v>0.41365321674078059</c:v>
                </c:pt>
                <c:pt idx="5">
                  <c:v>1.0122004357298475</c:v>
                </c:pt>
                <c:pt idx="6" formatCode="General">
                  <c:v>0</c:v>
                </c:pt>
                <c:pt idx="7" formatCode="General">
                  <c:v>0.54659856954299291</c:v>
                </c:pt>
                <c:pt idx="8" formatCode="General">
                  <c:v>2.0129922461448464</c:v>
                </c:pt>
                <c:pt idx="9" formatCode="General">
                  <c:v>0.50403352645046007</c:v>
                </c:pt>
                <c:pt idx="10" formatCode="General">
                  <c:v>1.8562353381022056</c:v>
                </c:pt>
                <c:pt idx="11">
                  <c:v>0.23203419650730997</c:v>
                </c:pt>
                <c:pt idx="12" formatCode="_-&quot;$&quot;* #,##0.00_-;\-&quot;$&quot;* #,##0.00_-;_-&quot;$&quot;* &quot;-&quot;??_-;_-@_-">
                  <c:v>0.58169034313746304</c:v>
                </c:pt>
                <c:pt idx="13" formatCode="_-&quot;$&quot;* #,##0.00_-;\-&quot;$&quot;* #,##0.00_-;_-&quot;$&quot;* &quot;-&quot;??_-;_-@_-">
                  <c:v>0.19827392573761993</c:v>
                </c:pt>
                <c:pt idx="14" formatCode="General">
                  <c:v>3.6262235752902598E-2</c:v>
                </c:pt>
                <c:pt idx="15" formatCode="General">
                  <c:v>0</c:v>
                </c:pt>
                <c:pt idx="16" formatCode="General">
                  <c:v>4.97269801445187E-2</c:v>
                </c:pt>
                <c:pt idx="17" formatCode="_-&quot;$&quot;* #,##0.00_-;\-&quot;$&quot;* #,##0.00_-;_-&quot;$&quot;* &quot;-&quot;??_-;_-@_-">
                  <c:v>0.52960799466109054</c:v>
                </c:pt>
                <c:pt idx="18" formatCode="General">
                  <c:v>4.5306735971938517E-2</c:v>
                </c:pt>
                <c:pt idx="19" formatCode="General">
                  <c:v>0</c:v>
                </c:pt>
                <c:pt idx="20" formatCode="General">
                  <c:v>6.2129847024371639E-2</c:v>
                </c:pt>
              </c:numCache>
            </c:numRef>
          </c:val>
          <c:extLst>
            <c:ext xmlns:c16="http://schemas.microsoft.com/office/drawing/2014/chart" uri="{C3380CC4-5D6E-409C-BE32-E72D297353CC}">
              <c16:uniqueId val="{00000007-C504-443F-B5EC-C2144C0E1BB9}"/>
            </c:ext>
          </c:extLst>
        </c:ser>
        <c:ser>
          <c:idx val="8"/>
          <c:order val="8"/>
          <c:tx>
            <c:strRef>
              <c:f>Lookups!$A$175</c:f>
              <c:strCache>
                <c:ptCount val="1"/>
                <c:pt idx="0">
                  <c:v>Peak chosen (100hrs)</c:v>
                </c:pt>
              </c:strCache>
            </c:strRef>
          </c:tx>
          <c:spPr>
            <a:solidFill>
              <a:schemeClr val="accent3">
                <a:lumMod val="60000"/>
              </a:schemeClr>
            </a:solidFill>
            <a:ln>
              <a:noFill/>
            </a:ln>
            <a:effectLst/>
          </c:spPr>
          <c:invertIfNegative val="0"/>
          <c:cat>
            <c:multiLvlStrRef>
              <c:f>Lookups!$B$165:$V$166</c:f>
              <c:multiLvlStrCache>
                <c:ptCount val="21"/>
                <c:lvl>
                  <c:pt idx="0">
                    <c:v>NEM 2024</c:v>
                  </c:pt>
                  <c:pt idx="1">
                    <c:v>RE future</c:v>
                  </c:pt>
                  <c:pt idx="2">
                    <c:v>Reference home</c:v>
                  </c:pt>
                  <c:pt idx="3">
                    <c:v>fully electrified without battery</c:v>
                  </c:pt>
                  <c:pt idx="4">
                    <c:v>Reference home</c:v>
                  </c:pt>
                  <c:pt idx="5">
                    <c:v>fully electrified without battery</c:v>
                  </c:pt>
                  <c:pt idx="7">
                    <c:v>Reference home</c:v>
                  </c:pt>
                  <c:pt idx="8">
                    <c:v>fully electrified without battery</c:v>
                  </c:pt>
                  <c:pt idx="9">
                    <c:v>Reference home</c:v>
                  </c:pt>
                  <c:pt idx="10">
                    <c:v>fully electrified without battery</c:v>
                  </c:pt>
                  <c:pt idx="11">
                    <c:v>now</c:v>
                  </c:pt>
                  <c:pt idx="12">
                    <c:v>renewable, electrified future</c:v>
                  </c:pt>
                  <c:pt idx="13">
                    <c:v>Generation</c:v>
                  </c:pt>
                  <c:pt idx="14">
                    <c:v>Networks</c:v>
                  </c:pt>
                  <c:pt idx="15">
                    <c:v>Retail</c:v>
                  </c:pt>
                  <c:pt idx="16">
                    <c:v>Govt</c:v>
                  </c:pt>
                  <c:pt idx="17">
                    <c:v>Generation</c:v>
                  </c:pt>
                  <c:pt idx="18">
                    <c:v>Networks</c:v>
                  </c:pt>
                  <c:pt idx="19">
                    <c:v>Retail</c:v>
                  </c:pt>
                  <c:pt idx="20">
                    <c:v>Govt</c:v>
                  </c:pt>
                </c:lvl>
                <c:lvl>
                  <c:pt idx="0">
                    <c:v>hours</c:v>
                  </c:pt>
                  <c:pt idx="2">
                    <c:v>kWh</c:v>
                  </c:pt>
                  <c:pt idx="4">
                    <c:v>peak kW</c:v>
                  </c:pt>
                  <c:pt idx="7">
                    <c:v>flat tariff - costs</c:v>
                  </c:pt>
                  <c:pt idx="9">
                    <c:v>your tariff - costs</c:v>
                  </c:pt>
                  <c:pt idx="11">
                    <c:v>Total costs</c:v>
                  </c:pt>
                  <c:pt idx="13">
                    <c:v>Price stack - now</c:v>
                  </c:pt>
                  <c:pt idx="17">
                    <c:v>Price stack - renewable, electrified future</c:v>
                  </c:pt>
                </c:lvl>
              </c:multiLvlStrCache>
            </c:multiLvlStrRef>
          </c:cat>
          <c:val>
            <c:numRef>
              <c:f>Lookups!$B$175:$V$175</c:f>
              <c:numCache>
                <c:formatCode>_-* #,##0.00_-;\-* #,##0.00_-;_-* "-"??_-;_-@_-</c:formatCode>
                <c:ptCount val="21"/>
                <c:pt idx="0">
                  <c:v>1.1415525114155251E-2</c:v>
                </c:pt>
                <c:pt idx="1">
                  <c:v>1.1415525114155251E-2</c:v>
                </c:pt>
                <c:pt idx="2">
                  <c:v>2.6371627405569649E-2</c:v>
                </c:pt>
                <c:pt idx="3">
                  <c:v>4.568637433763599E-2</c:v>
                </c:pt>
                <c:pt idx="4">
                  <c:v>0.36499999999999999</c:v>
                </c:pt>
                <c:pt idx="5">
                  <c:v>0.57999999999999996</c:v>
                </c:pt>
                <c:pt idx="6" formatCode="General">
                  <c:v>0</c:v>
                </c:pt>
                <c:pt idx="7" formatCode="General">
                  <c:v>2.0983048098490321E-2</c:v>
                </c:pt>
                <c:pt idx="8" formatCode="General">
                  <c:v>3.6351165418399126E-2</c:v>
                </c:pt>
                <c:pt idx="9" formatCode="General">
                  <c:v>0.24448207391011581</c:v>
                </c:pt>
                <c:pt idx="10" formatCode="General">
                  <c:v>0.42354229322761316</c:v>
                </c:pt>
                <c:pt idx="11" formatCode="General">
                  <c:v>0.236658457716242</c:v>
                </c:pt>
                <c:pt idx="12" formatCode="General">
                  <c:v>0.40998861098380063</c:v>
                </c:pt>
                <c:pt idx="13" formatCode="_-&quot;$&quot;* #,##0.00_-;\-&quot;$&quot;* #,##0.00_-;_-&quot;$&quot;* &quot;-&quot;??_-;_-@_-">
                  <c:v>5.1338609054173763E-2</c:v>
                </c:pt>
                <c:pt idx="14" formatCode="_-&quot;$&quot;* #,##0.00_-;\-&quot;$&quot;* #,##0.00_-;_-&quot;$&quot;* &quot;-&quot;??_-;_-@_-">
                  <c:v>0.14505288288047052</c:v>
                </c:pt>
                <c:pt idx="15" formatCode="General">
                  <c:v>0</c:v>
                </c:pt>
                <c:pt idx="16" formatCode="General">
                  <c:v>7.0434816068723363E-4</c:v>
                </c:pt>
                <c:pt idx="17">
                  <c:v>0.10083376645525974</c:v>
                </c:pt>
                <c:pt idx="18" formatCode="_-&quot;$&quot;* #,##0.00_-;\-&quot;$&quot;* #,##0.00_-;_-&quot;$&quot;* &quot;-&quot;??_-;_-@_-">
                  <c:v>0.25183447560909794</c:v>
                </c:pt>
                <c:pt idx="19" formatCode="General">
                  <c:v>0</c:v>
                </c:pt>
                <c:pt idx="20" formatCode="General">
                  <c:v>1.9661343995054314E-3</c:v>
                </c:pt>
              </c:numCache>
            </c:numRef>
          </c:val>
          <c:extLst>
            <c:ext xmlns:c16="http://schemas.microsoft.com/office/drawing/2014/chart" uri="{C3380CC4-5D6E-409C-BE32-E72D297353CC}">
              <c16:uniqueId val="{00000008-C504-443F-B5EC-C2144C0E1BB9}"/>
            </c:ext>
          </c:extLst>
        </c:ser>
        <c:dLbls>
          <c:showLegendKey val="0"/>
          <c:showVal val="0"/>
          <c:showCatName val="0"/>
          <c:showSerName val="0"/>
          <c:showPercent val="0"/>
          <c:showBubbleSize val="0"/>
        </c:dLbls>
        <c:gapWidth val="150"/>
        <c:overlap val="100"/>
        <c:axId val="919403728"/>
        <c:axId val="220280016"/>
      </c:barChart>
      <c:catAx>
        <c:axId val="9194037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Sora"/>
                <a:ea typeface="+mn-ea"/>
                <a:cs typeface="+mn-cs"/>
              </a:defRPr>
            </a:pPr>
            <a:endParaRPr lang="en-US"/>
          </a:p>
        </c:txPr>
        <c:crossAx val="220280016"/>
        <c:crosses val="autoZero"/>
        <c:auto val="1"/>
        <c:lblAlgn val="ctr"/>
        <c:lblOffset val="100"/>
        <c:noMultiLvlLbl val="0"/>
      </c:catAx>
      <c:valAx>
        <c:axId val="22028001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AU"/>
                  <a:t>Normalised</a:t>
                </a:r>
                <a:r>
                  <a:rPr lang="en-AU" baseline="0"/>
                  <a:t> - reference home total = 1</a:t>
                </a:r>
                <a:endParaRPr lang="en-AU"/>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AU"/>
            </a:p>
          </c:txPr>
        </c:title>
        <c:numFmt formatCode="_-* #,##0.00_-;\-* #,##0.0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940372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Sora"/>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a:t>Comparing cost-reflective</a:t>
            </a:r>
            <a:r>
              <a:rPr lang="en-AU" baseline="0"/>
              <a:t> tariffs and home load factor</a:t>
            </a:r>
            <a:endParaRPr lang="en-AU"/>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AU"/>
        </a:p>
      </c:txPr>
    </c:title>
    <c:autoTitleDeleted val="0"/>
    <c:plotArea>
      <c:layout/>
      <c:lineChart>
        <c:grouping val="standard"/>
        <c:varyColors val="0"/>
        <c:ser>
          <c:idx val="1"/>
          <c:order val="1"/>
          <c:tx>
            <c:v>$/MWh avg</c:v>
          </c:tx>
          <c:spPr>
            <a:ln w="28575" cap="rnd">
              <a:solidFill>
                <a:schemeClr val="accent2"/>
              </a:solidFill>
              <a:round/>
            </a:ln>
            <a:effectLst/>
          </c:spPr>
          <c:marker>
            <c:symbol val="none"/>
          </c:marker>
          <c:cat>
            <c:strRef>
              <c:f>'Different homes'!$C$5:$C$15</c:f>
              <c:strCache>
                <c:ptCount val="11"/>
                <c:pt idx="0">
                  <c:v>Reference household</c:v>
                </c:pt>
                <c:pt idx="1">
                  <c:v>average solar home</c:v>
                </c:pt>
                <c:pt idx="2">
                  <c:v>average non-solar home</c:v>
                </c:pt>
                <c:pt idx="3">
                  <c:v>average gas home</c:v>
                </c:pt>
                <c:pt idx="4">
                  <c:v>average electric home</c:v>
                </c:pt>
                <c:pt idx="5">
                  <c:v>big gas home</c:v>
                </c:pt>
                <c:pt idx="6">
                  <c:v>big solar home</c:v>
                </c:pt>
                <c:pt idx="7">
                  <c:v>big electric home</c:v>
                </c:pt>
                <c:pt idx="8">
                  <c:v>Efficient Electrify Everything home (based on big home, EV, with solar, no battery)</c:v>
                </c:pt>
                <c:pt idx="9">
                  <c:v>Efficient Electrify Everything home with battery and load flex (reduced grid impact)</c:v>
                </c:pt>
                <c:pt idx="10">
                  <c:v>My original reference household (your tariffs)</c:v>
                </c:pt>
              </c:strCache>
            </c:strRef>
          </c:cat>
          <c:val>
            <c:numRef>
              <c:f>'Different homes'!$AX$5:$AX$15</c:f>
              <c:numCache>
                <c:formatCode>_-"$"* #,##0_-;\-"$"* #,##0_-;_-"$"* "-"??_-;_-@_-</c:formatCode>
                <c:ptCount val="11"/>
                <c:pt idx="0">
                  <c:v>333.37826101697959</c:v>
                </c:pt>
                <c:pt idx="1">
                  <c:v>433.77174062129541</c:v>
                </c:pt>
                <c:pt idx="2">
                  <c:v>303.0206686559136</c:v>
                </c:pt>
                <c:pt idx="3">
                  <c:v>361.12231990520553</c:v>
                </c:pt>
                <c:pt idx="4">
                  <c:v>317.3011705809331</c:v>
                </c:pt>
                <c:pt idx="5">
                  <c:v>460.48443777469129</c:v>
                </c:pt>
                <c:pt idx="6">
                  <c:v>494.69920648385892</c:v>
                </c:pt>
                <c:pt idx="7">
                  <c:v>332.72052318786479</c:v>
                </c:pt>
                <c:pt idx="8">
                  <c:v>317.41786623809531</c:v>
                </c:pt>
                <c:pt idx="9">
                  <c:v>285.69211454018199</c:v>
                </c:pt>
                <c:pt idx="10">
                  <c:v>333.37826101697965</c:v>
                </c:pt>
              </c:numCache>
            </c:numRef>
          </c:val>
          <c:smooth val="0"/>
          <c:extLst>
            <c:ext xmlns:c16="http://schemas.microsoft.com/office/drawing/2014/chart" uri="{C3380CC4-5D6E-409C-BE32-E72D297353CC}">
              <c16:uniqueId val="{00000001-7B25-4EE3-9020-F077A536DF9C}"/>
            </c:ext>
          </c:extLst>
        </c:ser>
        <c:dLbls>
          <c:showLegendKey val="0"/>
          <c:showVal val="0"/>
          <c:showCatName val="0"/>
          <c:showSerName val="0"/>
          <c:showPercent val="0"/>
          <c:showBubbleSize val="0"/>
        </c:dLbls>
        <c:marker val="1"/>
        <c:smooth val="0"/>
        <c:axId val="72066768"/>
        <c:axId val="72059568"/>
      </c:lineChart>
      <c:lineChart>
        <c:grouping val="standard"/>
        <c:varyColors val="0"/>
        <c:ser>
          <c:idx val="0"/>
          <c:order val="0"/>
          <c:tx>
            <c:v>Load Factor (ratio of peak to average)</c:v>
          </c:tx>
          <c:spPr>
            <a:ln w="28575" cap="rnd">
              <a:solidFill>
                <a:schemeClr val="accent1"/>
              </a:solidFill>
              <a:round/>
            </a:ln>
            <a:effectLst/>
          </c:spPr>
          <c:marker>
            <c:symbol val="none"/>
          </c:marker>
          <c:cat>
            <c:strRef>
              <c:f>'Different homes'!$C$5:$C$15</c:f>
              <c:strCache>
                <c:ptCount val="11"/>
                <c:pt idx="0">
                  <c:v>Reference household</c:v>
                </c:pt>
                <c:pt idx="1">
                  <c:v>average solar home</c:v>
                </c:pt>
                <c:pt idx="2">
                  <c:v>average non-solar home</c:v>
                </c:pt>
                <c:pt idx="3">
                  <c:v>average gas home</c:v>
                </c:pt>
                <c:pt idx="4">
                  <c:v>average electric home</c:v>
                </c:pt>
                <c:pt idx="5">
                  <c:v>big gas home</c:v>
                </c:pt>
                <c:pt idx="6">
                  <c:v>big solar home</c:v>
                </c:pt>
                <c:pt idx="7">
                  <c:v>big electric home</c:v>
                </c:pt>
                <c:pt idx="8">
                  <c:v>Efficient Electrify Everything home (based on big home, EV, with solar, no battery)</c:v>
                </c:pt>
                <c:pt idx="9">
                  <c:v>Efficient Electrify Everything home with battery and load flex (reduced grid impact)</c:v>
                </c:pt>
                <c:pt idx="10">
                  <c:v>My original reference household (your tariffs)</c:v>
                </c:pt>
              </c:strCache>
            </c:strRef>
          </c:cat>
          <c:val>
            <c:numRef>
              <c:f>'Different homes'!$H$5:$H$15</c:f>
              <c:numCache>
                <c:formatCode>0%</c:formatCode>
                <c:ptCount val="11"/>
                <c:pt idx="0">
                  <c:v>0.35279024782792179</c:v>
                </c:pt>
                <c:pt idx="1">
                  <c:v>0.26012002870512535</c:v>
                </c:pt>
                <c:pt idx="2">
                  <c:v>0.39855432474750158</c:v>
                </c:pt>
                <c:pt idx="3">
                  <c:v>0.41986898693851527</c:v>
                </c:pt>
                <c:pt idx="4">
                  <c:v>0.34747778229394383</c:v>
                </c:pt>
                <c:pt idx="5">
                  <c:v>0.14269406392694065</c:v>
                </c:pt>
                <c:pt idx="6">
                  <c:v>0.13698630136986303</c:v>
                </c:pt>
                <c:pt idx="7">
                  <c:v>0.27397260273972607</c:v>
                </c:pt>
                <c:pt idx="8">
                  <c:v>0.53272450532724502</c:v>
                </c:pt>
                <c:pt idx="9">
                  <c:v>1.8264840182648401</c:v>
                </c:pt>
                <c:pt idx="10">
                  <c:v>0.35279024782792179</c:v>
                </c:pt>
              </c:numCache>
            </c:numRef>
          </c:val>
          <c:smooth val="0"/>
          <c:extLst>
            <c:ext xmlns:c16="http://schemas.microsoft.com/office/drawing/2014/chart" uri="{C3380CC4-5D6E-409C-BE32-E72D297353CC}">
              <c16:uniqueId val="{00000000-7B25-4EE3-9020-F077A536DF9C}"/>
            </c:ext>
          </c:extLst>
        </c:ser>
        <c:dLbls>
          <c:showLegendKey val="0"/>
          <c:showVal val="0"/>
          <c:showCatName val="0"/>
          <c:showSerName val="0"/>
          <c:showPercent val="0"/>
          <c:showBubbleSize val="0"/>
        </c:dLbls>
        <c:marker val="1"/>
        <c:smooth val="0"/>
        <c:axId val="1896180223"/>
        <c:axId val="1896162463"/>
      </c:lineChart>
      <c:catAx>
        <c:axId val="72066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059568"/>
        <c:crosses val="autoZero"/>
        <c:auto val="1"/>
        <c:lblAlgn val="ctr"/>
        <c:lblOffset val="100"/>
        <c:noMultiLvlLbl val="0"/>
      </c:catAx>
      <c:valAx>
        <c:axId val="7205956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AU"/>
                  <a:t>$/MWh avg</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066768"/>
        <c:crosses val="autoZero"/>
        <c:crossBetween val="between"/>
      </c:valAx>
      <c:valAx>
        <c:axId val="1896162463"/>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AU"/>
                  <a:t>load factor (ratio</a:t>
                </a:r>
                <a:r>
                  <a:rPr lang="en-AU" baseline="0"/>
                  <a:t> of peak to average load (kW))</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96180223"/>
        <c:crosses val="max"/>
        <c:crossBetween val="between"/>
      </c:valAx>
      <c:catAx>
        <c:axId val="1896180223"/>
        <c:scaling>
          <c:orientation val="minMax"/>
        </c:scaling>
        <c:delete val="1"/>
        <c:axPos val="b"/>
        <c:numFmt formatCode="General" sourceLinked="1"/>
        <c:majorTickMark val="out"/>
        <c:minorTickMark val="none"/>
        <c:tickLblPos val="nextTo"/>
        <c:crossAx val="1896162463"/>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a:t>$/MWh vs load factor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38100" cap="rnd">
              <a:noFill/>
              <a:round/>
            </a:ln>
            <a:effectLst/>
          </c:spPr>
          <c:marker>
            <c:symbol val="circle"/>
            <c:size val="5"/>
            <c:spPr>
              <a:solidFill>
                <a:schemeClr val="accent1"/>
              </a:solidFill>
              <a:ln w="9525">
                <a:solidFill>
                  <a:schemeClr val="accent1"/>
                </a:solidFill>
              </a:ln>
              <a:effectLst/>
            </c:spPr>
          </c:marker>
          <c:dLbls>
            <c:dLbl>
              <c:idx val="0"/>
              <c:layout>
                <c:manualLayout>
                  <c:x val="-0.14296503930801024"/>
                  <c:y val="5.9033522591484651E-2"/>
                </c:manualLayout>
              </c:layout>
              <c:tx>
                <c:rich>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fld id="{B4B8E1F5-9E7D-4DF0-BF34-1C3226C741E1}" type="CELLRANGE">
                      <a:rPr lang="en-US"/>
                      <a:pPr>
                        <a:defRPr/>
                      </a:pPr>
                      <a:t>[]</a:t>
                    </a:fld>
                    <a:endParaRPr/>
                  </a:p>
                </c:rich>
              </c:tx>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endParaRPr lang="en-AU"/>
                </a:p>
              </c:txPr>
              <c:showLegendKey val="0"/>
              <c:showVal val="0"/>
              <c:showCatName val="0"/>
              <c:showSerName val="0"/>
              <c:showPercent val="0"/>
              <c:showBubbleSize val="0"/>
              <c:extLst>
                <c:ext xmlns:c15="http://schemas.microsoft.com/office/drawing/2012/chart" uri="{CE6537A1-D6FC-4f65-9D91-7224C49458BB}">
                  <c15:layout>
                    <c:manualLayout>
                      <c:w val="9.5217538282796402E-2"/>
                      <c:h val="9.1543714355559455E-2"/>
                    </c:manualLayout>
                  </c15:layout>
                  <c15:dlblFieldTable/>
                  <c15:showDataLabelsRange val="1"/>
                </c:ext>
                <c:ext xmlns:c16="http://schemas.microsoft.com/office/drawing/2014/chart" uri="{C3380CC4-5D6E-409C-BE32-E72D297353CC}">
                  <c16:uniqueId val="{00000001-22CE-4B7E-9E7D-99FB92B0E33A}"/>
                </c:ext>
              </c:extLst>
            </c:dLbl>
            <c:dLbl>
              <c:idx val="1"/>
              <c:layout>
                <c:manualLayout>
                  <c:x val="-6.0692144109303998E-3"/>
                  <c:y val="-3.0933524058730653E-2"/>
                </c:manualLayout>
              </c:layout>
              <c:tx>
                <c:rich>
                  <a:bodyPr/>
                  <a:lstStyle/>
                  <a:p>
                    <a:fld id="{A3C3C637-1B9D-4788-B39E-C555CFFC6BC5}"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22CE-4B7E-9E7D-99FB92B0E33A}"/>
                </c:ext>
              </c:extLst>
            </c:dLbl>
            <c:dLbl>
              <c:idx val="2"/>
              <c:layout>
                <c:manualLayout>
                  <c:x val="-0.16539194554969727"/>
                  <c:y val="-3.2478857358574274E-2"/>
                </c:manualLayout>
              </c:layout>
              <c:tx>
                <c:rich>
                  <a:bodyPr/>
                  <a:lstStyle/>
                  <a:p>
                    <a:fld id="{6B03C9CD-F0C2-4050-A440-51F28F3B4127}"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layout>
                    <c:manualLayout>
                      <c:w val="0.1079058779097678"/>
                      <c:h val="8.3337581715031486E-2"/>
                    </c:manualLayout>
                  </c15:layout>
                  <c15:dlblFieldTable/>
                  <c15:showDataLabelsRange val="1"/>
                </c:ext>
                <c:ext xmlns:c16="http://schemas.microsoft.com/office/drawing/2014/chart" uri="{C3380CC4-5D6E-409C-BE32-E72D297353CC}">
                  <c16:uniqueId val="{00000003-22CE-4B7E-9E7D-99FB92B0E33A}"/>
                </c:ext>
              </c:extLst>
            </c:dLbl>
            <c:dLbl>
              <c:idx val="3"/>
              <c:layout>
                <c:manualLayout>
                  <c:x val="9.7636888557070062E-2"/>
                  <c:y val="2.0741884326803923E-2"/>
                </c:manualLayout>
              </c:layout>
              <c:tx>
                <c:rich>
                  <a:bodyPr/>
                  <a:lstStyle/>
                  <a:p>
                    <a:fld id="{3185DCE8-70E2-4611-AA0C-47164ACAFBA2}"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4-22CE-4B7E-9E7D-99FB92B0E33A}"/>
                </c:ext>
              </c:extLst>
            </c:dLbl>
            <c:dLbl>
              <c:idx val="4"/>
              <c:layout>
                <c:manualLayout>
                  <c:x val="8.2355413977999448E-3"/>
                  <c:y val="5.4877486204779292E-3"/>
                </c:manualLayout>
              </c:layout>
              <c:tx>
                <c:rich>
                  <a:bodyPr/>
                  <a:lstStyle/>
                  <a:p>
                    <a:fld id="{55C31836-57DC-4798-B608-231795ED7A0F}"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22CE-4B7E-9E7D-99FB92B0E33A}"/>
                </c:ext>
              </c:extLst>
            </c:dLbl>
            <c:dLbl>
              <c:idx val="5"/>
              <c:layout>
                <c:manualLayout>
                  <c:x val="-4.9009594560732537E-3"/>
                  <c:y val="3.7899709510166094E-2"/>
                </c:manualLayout>
              </c:layout>
              <c:tx>
                <c:rich>
                  <a:bodyPr/>
                  <a:lstStyle/>
                  <a:p>
                    <a:fld id="{02C92407-8BDC-47BF-BA37-9AA211B8E9EC}"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22CE-4B7E-9E7D-99FB92B0E33A}"/>
                </c:ext>
              </c:extLst>
            </c:dLbl>
            <c:dLbl>
              <c:idx val="6"/>
              <c:layout>
                <c:manualLayout>
                  <c:x val="-7.6781698145147653E-2"/>
                  <c:y val="-3.4741400384318943E-2"/>
                </c:manualLayout>
              </c:layout>
              <c:tx>
                <c:rich>
                  <a:bodyPr/>
                  <a:lstStyle/>
                  <a:p>
                    <a:fld id="{77339F51-7E43-4647-B064-D9CAD3804253}"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22CE-4B7E-9E7D-99FB92B0E33A}"/>
                </c:ext>
              </c:extLst>
            </c:dLbl>
            <c:dLbl>
              <c:idx val="7"/>
              <c:layout>
                <c:manualLayout>
                  <c:x val="-5.0643247712756981E-2"/>
                  <c:y val="0.12001574678219275"/>
                </c:manualLayout>
              </c:layout>
              <c:tx>
                <c:rich>
                  <a:bodyPr/>
                  <a:lstStyle/>
                  <a:p>
                    <a:fld id="{895CBB79-640D-4A97-A5CE-1E5F0FCF697E}"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8-22CE-4B7E-9E7D-99FB92B0E33A}"/>
                </c:ext>
              </c:extLst>
            </c:dLbl>
            <c:dLbl>
              <c:idx val="8"/>
              <c:layout>
                <c:manualLayout>
                  <c:x val="0"/>
                  <c:y val="0.13683769582874969"/>
                </c:manualLayout>
              </c:layout>
              <c:tx>
                <c:rich>
                  <a:bodyPr/>
                  <a:lstStyle/>
                  <a:p>
                    <a:fld id="{829FF354-44FE-4C5E-BCAC-7F2244A50623}"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22CE-4B7E-9E7D-99FB92B0E33A}"/>
                </c:ext>
              </c:extLst>
            </c:dLbl>
            <c:dLbl>
              <c:idx val="9"/>
              <c:layout>
                <c:manualLayout>
                  <c:x val="-1.1668185291701187E-2"/>
                  <c:y val="0.12317405590803998"/>
                </c:manualLayout>
              </c:layout>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1"/>
                </c:ext>
                <c:ext xmlns:c16="http://schemas.microsoft.com/office/drawing/2014/chart" uri="{C3380CC4-5D6E-409C-BE32-E72D297353CC}">
                  <c16:uniqueId val="{0000000A-22CE-4B7E-9E7D-99FB92B0E33A}"/>
                </c:ext>
              </c:extLst>
            </c:dLbl>
            <c:dLbl>
              <c:idx val="10"/>
              <c:layout>
                <c:manualLayout>
                  <c:x val="0.18412673135075583"/>
                  <c:y val="-0.18611617255707902"/>
                </c:manualLayout>
              </c:layout>
              <c:tx>
                <c:rich>
                  <a:bodyPr/>
                  <a:lstStyle/>
                  <a:p>
                    <a:fld id="{33E32F17-F89B-443B-A5B5-ADC1B5F47629}"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22CE-4B7E-9E7D-99FB92B0E33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trendline>
            <c:spPr>
              <a:ln w="19050" cap="rnd">
                <a:solidFill>
                  <a:schemeClr val="accent1"/>
                </a:solidFill>
                <a:prstDash val="sysDot"/>
              </a:ln>
              <a:effectLst/>
            </c:spPr>
            <c:trendlineType val="linear"/>
            <c:dispRSqr val="0"/>
            <c:dispEq val="0"/>
          </c:trendline>
          <c:xVal>
            <c:numRef>
              <c:f>'Different homes'!$I$5:$I$15</c:f>
              <c:numCache>
                <c:formatCode>_-* #,##0.00_-;\-* #,##0.00_-;_-* "-"??_-;_-@_-</c:formatCode>
                <c:ptCount val="11"/>
                <c:pt idx="0">
                  <c:v>0.35279024782792179</c:v>
                </c:pt>
                <c:pt idx="1">
                  <c:v>0.26012002870512535</c:v>
                </c:pt>
                <c:pt idx="2">
                  <c:v>0.39855432474750158</c:v>
                </c:pt>
                <c:pt idx="3">
                  <c:v>0.41986898693851527</c:v>
                </c:pt>
                <c:pt idx="4">
                  <c:v>0.34747778229394383</c:v>
                </c:pt>
                <c:pt idx="5">
                  <c:v>0.14269406392694065</c:v>
                </c:pt>
                <c:pt idx="6">
                  <c:v>0.13698630136986303</c:v>
                </c:pt>
                <c:pt idx="7">
                  <c:v>0.27397260273972607</c:v>
                </c:pt>
                <c:pt idx="8">
                  <c:v>0.53272450532724502</c:v>
                </c:pt>
                <c:pt idx="10">
                  <c:v>0.35279024782792179</c:v>
                </c:pt>
              </c:numCache>
            </c:numRef>
          </c:xVal>
          <c:yVal>
            <c:numRef>
              <c:f>'Different homes'!$AX$5:$AX$15</c:f>
              <c:numCache>
                <c:formatCode>_-"$"* #,##0_-;\-"$"* #,##0_-;_-"$"* "-"??_-;_-@_-</c:formatCode>
                <c:ptCount val="11"/>
                <c:pt idx="0">
                  <c:v>333.37826101697959</c:v>
                </c:pt>
                <c:pt idx="1">
                  <c:v>433.77174062129541</c:v>
                </c:pt>
                <c:pt idx="2">
                  <c:v>303.0206686559136</c:v>
                </c:pt>
                <c:pt idx="3">
                  <c:v>361.12231990520553</c:v>
                </c:pt>
                <c:pt idx="4">
                  <c:v>317.3011705809331</c:v>
                </c:pt>
                <c:pt idx="5">
                  <c:v>460.48443777469129</c:v>
                </c:pt>
                <c:pt idx="6">
                  <c:v>494.69920648385892</c:v>
                </c:pt>
                <c:pt idx="7">
                  <c:v>332.72052318786479</c:v>
                </c:pt>
                <c:pt idx="8">
                  <c:v>317.41786623809531</c:v>
                </c:pt>
                <c:pt idx="9">
                  <c:v>285.69211454018199</c:v>
                </c:pt>
                <c:pt idx="10">
                  <c:v>333.37826101697965</c:v>
                </c:pt>
              </c:numCache>
            </c:numRef>
          </c:yVal>
          <c:smooth val="0"/>
          <c:extLst>
            <c:ext xmlns:c15="http://schemas.microsoft.com/office/drawing/2012/chart" uri="{02D57815-91ED-43cb-92C2-25804820EDAC}">
              <c15:datalabelsRange>
                <c15:f>'Different homes'!$C$5:$C$15</c15:f>
                <c15:dlblRangeCache>
                  <c:ptCount val="11"/>
                  <c:pt idx="0">
                    <c:v>Reference household</c:v>
                  </c:pt>
                  <c:pt idx="1">
                    <c:v>average solar home</c:v>
                  </c:pt>
                  <c:pt idx="2">
                    <c:v>average non-solar home</c:v>
                  </c:pt>
                  <c:pt idx="3">
                    <c:v>average gas home</c:v>
                  </c:pt>
                  <c:pt idx="4">
                    <c:v>average electric home</c:v>
                  </c:pt>
                  <c:pt idx="5">
                    <c:v>big gas home</c:v>
                  </c:pt>
                  <c:pt idx="6">
                    <c:v>big solar home</c:v>
                  </c:pt>
                  <c:pt idx="7">
                    <c:v>big electric home</c:v>
                  </c:pt>
                  <c:pt idx="8">
                    <c:v>Efficient Electrify Everything home (based on big home, EV, with solar, no battery)</c:v>
                  </c:pt>
                  <c:pt idx="9">
                    <c:v>Efficient Electrify Everything home with battery and load flex (reduced grid impact)</c:v>
                  </c:pt>
                  <c:pt idx="10">
                    <c:v>My original reference household (your tariffs)</c:v>
                  </c:pt>
                </c15:dlblRangeCache>
              </c15:datalabelsRange>
            </c:ext>
            <c:ext xmlns:c16="http://schemas.microsoft.com/office/drawing/2014/chart" uri="{C3380CC4-5D6E-409C-BE32-E72D297353CC}">
              <c16:uniqueId val="{00000000-22CE-4B7E-9E7D-99FB92B0E33A}"/>
            </c:ext>
          </c:extLst>
        </c:ser>
        <c:ser>
          <c:idx val="1"/>
          <c:order val="1"/>
          <c:tx>
            <c:v>outlier</c:v>
          </c:tx>
          <c:spPr>
            <a:ln w="25400" cap="rnd">
              <a:noFill/>
              <a:round/>
            </a:ln>
            <a:effectLst/>
          </c:spPr>
          <c:marker>
            <c:symbol val="diamond"/>
            <c:size val="8"/>
            <c:spPr>
              <a:solidFill>
                <a:srgbClr val="92D050"/>
              </a:solidFill>
              <a:ln w="9525">
                <a:solidFill>
                  <a:srgbClr val="92D050"/>
                </a:solidFill>
              </a:ln>
              <a:effectLst/>
            </c:spPr>
          </c:marker>
          <c:dLbls>
            <c:dLbl>
              <c:idx val="0"/>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A-22CE-4B7E-9E7D-99FB92B0E33A}"/>
                </c:ext>
              </c:extLst>
            </c:dLbl>
            <c:dLbl>
              <c:idx val="1"/>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B-22CE-4B7E-9E7D-99FB92B0E33A}"/>
                </c:ext>
              </c:extLst>
            </c:dLbl>
            <c:dLbl>
              <c:idx val="2"/>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C-22CE-4B7E-9E7D-99FB92B0E33A}"/>
                </c:ext>
              </c:extLst>
            </c:dLbl>
            <c:dLbl>
              <c:idx val="3"/>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D-22CE-4B7E-9E7D-99FB92B0E33A}"/>
                </c:ext>
              </c:extLst>
            </c:dLbl>
            <c:dLbl>
              <c:idx val="4"/>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E-22CE-4B7E-9E7D-99FB92B0E33A}"/>
                </c:ext>
              </c:extLst>
            </c:dLbl>
            <c:dLbl>
              <c:idx val="5"/>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F-22CE-4B7E-9E7D-99FB92B0E33A}"/>
                </c:ext>
              </c:extLst>
            </c:dLbl>
            <c:dLbl>
              <c:idx val="6"/>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0-22CE-4B7E-9E7D-99FB92B0E33A}"/>
                </c:ext>
              </c:extLst>
            </c:dLbl>
            <c:dLbl>
              <c:idx val="7"/>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1-22CE-4B7E-9E7D-99FB92B0E33A}"/>
                </c:ext>
              </c:extLst>
            </c:dLbl>
            <c:dLbl>
              <c:idx val="8"/>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2-22CE-4B7E-9E7D-99FB92B0E33A}"/>
                </c:ext>
              </c:extLst>
            </c:dLbl>
            <c:dLbl>
              <c:idx val="9"/>
              <c:layout>
                <c:manualLayout>
                  <c:x val="-2.4794893744865022E-2"/>
                  <c:y val="0.1200157467821928"/>
                </c:manualLayout>
              </c:layout>
              <c:tx>
                <c:rich>
                  <a:bodyPr/>
                  <a:lstStyle/>
                  <a:p>
                    <a:fld id="{4DBBA5E1-0949-4336-93F4-EB90600EF9AE}" type="CELLRANGE">
                      <a:rPr lang="en-US"/>
                      <a:pPr/>
                      <a:t>[]</a:t>
                    </a:fld>
                    <a:endParaRPr/>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3-22CE-4B7E-9E7D-99FB92B0E33A}"/>
                </c:ext>
              </c:extLst>
            </c:dLbl>
            <c:dLbl>
              <c:idx val="10"/>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4-22CE-4B7E-9E7D-99FB92B0E33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xVal>
            <c:numRef>
              <c:f>'Different homes'!$J$5:$J$15</c:f>
              <c:numCache>
                <c:formatCode>0%</c:formatCode>
                <c:ptCount val="11"/>
                <c:pt idx="9" formatCode="_-* #,##0.00_-;\-* #,##0.00_-;_-* &quot;-&quot;??_-;_-@_-">
                  <c:v>1.8264840182648401</c:v>
                </c:pt>
              </c:numCache>
            </c:numRef>
          </c:xVal>
          <c:yVal>
            <c:numRef>
              <c:f>'Different homes'!$AX$5:$AX$15</c:f>
              <c:numCache>
                <c:formatCode>_-"$"* #,##0_-;\-"$"* #,##0_-;_-"$"* "-"??_-;_-@_-</c:formatCode>
                <c:ptCount val="11"/>
                <c:pt idx="0">
                  <c:v>333.37826101697959</c:v>
                </c:pt>
                <c:pt idx="1">
                  <c:v>433.77174062129541</c:v>
                </c:pt>
                <c:pt idx="2">
                  <c:v>303.0206686559136</c:v>
                </c:pt>
                <c:pt idx="3">
                  <c:v>361.12231990520553</c:v>
                </c:pt>
                <c:pt idx="4">
                  <c:v>317.3011705809331</c:v>
                </c:pt>
                <c:pt idx="5">
                  <c:v>460.48443777469129</c:v>
                </c:pt>
                <c:pt idx="6">
                  <c:v>494.69920648385892</c:v>
                </c:pt>
                <c:pt idx="7">
                  <c:v>332.72052318786479</c:v>
                </c:pt>
                <c:pt idx="8">
                  <c:v>317.41786623809531</c:v>
                </c:pt>
                <c:pt idx="9">
                  <c:v>285.69211454018199</c:v>
                </c:pt>
                <c:pt idx="10">
                  <c:v>333.37826101697965</c:v>
                </c:pt>
              </c:numCache>
            </c:numRef>
          </c:yVal>
          <c:smooth val="0"/>
          <c:extLst>
            <c:ext xmlns:c15="http://schemas.microsoft.com/office/drawing/2012/chart" uri="{02D57815-91ED-43cb-92C2-25804820EDAC}">
              <c15:datalabelsRange>
                <c15:f>'Different homes'!$C$5:$C$15</c15:f>
                <c15:dlblRangeCache>
                  <c:ptCount val="11"/>
                  <c:pt idx="0">
                    <c:v>Reference household</c:v>
                  </c:pt>
                  <c:pt idx="1">
                    <c:v>average solar home</c:v>
                  </c:pt>
                  <c:pt idx="2">
                    <c:v>average non-solar home</c:v>
                  </c:pt>
                  <c:pt idx="3">
                    <c:v>average gas home</c:v>
                  </c:pt>
                  <c:pt idx="4">
                    <c:v>average electric home</c:v>
                  </c:pt>
                  <c:pt idx="5">
                    <c:v>big gas home</c:v>
                  </c:pt>
                  <c:pt idx="6">
                    <c:v>big solar home</c:v>
                  </c:pt>
                  <c:pt idx="7">
                    <c:v>big electric home</c:v>
                  </c:pt>
                  <c:pt idx="8">
                    <c:v>Efficient Electrify Everything home (based on big home, EV, with solar, no battery)</c:v>
                  </c:pt>
                  <c:pt idx="9">
                    <c:v>Efficient Electrify Everything home with battery and load flex (reduced grid impact)</c:v>
                  </c:pt>
                  <c:pt idx="10">
                    <c:v>My original reference household (your tariffs)</c:v>
                  </c:pt>
                </c15:dlblRangeCache>
              </c15:datalabelsRange>
            </c:ext>
            <c:ext xmlns:c16="http://schemas.microsoft.com/office/drawing/2014/chart" uri="{C3380CC4-5D6E-409C-BE32-E72D297353CC}">
              <c16:uniqueId val="{00000019-22CE-4B7E-9E7D-99FB92B0E33A}"/>
            </c:ext>
          </c:extLst>
        </c:ser>
        <c:dLbls>
          <c:showLegendKey val="0"/>
          <c:showVal val="1"/>
          <c:showCatName val="0"/>
          <c:showSerName val="0"/>
          <c:showPercent val="0"/>
          <c:showBubbleSize val="0"/>
        </c:dLbls>
        <c:axId val="1202411488"/>
        <c:axId val="1202411968"/>
      </c:scatterChart>
      <c:valAx>
        <c:axId val="1202411488"/>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AU"/>
                  <a:t>Load</a:t>
                </a:r>
                <a:r>
                  <a:rPr lang="en-AU" baseline="0"/>
                  <a:t> Factor (ratio between average and peak load)</a:t>
                </a:r>
                <a:endParaRPr lang="en-AU"/>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AU"/>
            </a:p>
          </c:txPr>
        </c:title>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02411968"/>
        <c:crosses val="autoZero"/>
        <c:crossBetween val="midCat"/>
      </c:valAx>
      <c:valAx>
        <c:axId val="120241196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AU"/>
                  <a:t>$/MWh</a:t>
                </a:r>
                <a:r>
                  <a:rPr lang="en-AU" baseline="0"/>
                  <a:t> avg</a:t>
                </a:r>
                <a:endParaRPr lang="en-AU"/>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AU"/>
            </a:p>
          </c:txPr>
        </c:title>
        <c:numFmt formatCode="_-&quot;$&quot;* #,##0_-;\-&quot;$&quot;* #,##0_-;_-&quot;$&quot;* &quot;-&quot;??_-;_-@_-"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02411488"/>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7.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A3E5086-54FD-4E0F-8BE2-F9DEBC2712A6}">
  <sheetPr/>
  <sheetViews>
    <sheetView zoomScale="62" workbookViewId="0" zoomToFit="1"/>
  </sheetViews>
  <pageMargins left="0.7" right="0.7" top="0.75" bottom="0.75" header="0.3" footer="0.3"/>
  <drawing r:id="rId1"/>
</chartsheet>
</file>

<file path=xl/ctrlProps/ctrlProp1.xml><?xml version="1.0" encoding="utf-8"?>
<formControlPr xmlns="http://schemas.microsoft.com/office/spreadsheetml/2009/9/main" objectType="Drop" dropStyle="combo" dx="31" fmlaLink="$J$4" fmlaRange="Jurisdictionsplus" noThreeD="1" sel="26" val="18"/>
</file>

<file path=xl/ctrlProps/ctrlProp10.xml><?xml version="1.0" encoding="utf-8"?>
<formControlPr xmlns="http://schemas.microsoft.com/office/spreadsheetml/2009/9/main" objectType="CheckBox" checked="Checked" fmlaLink="$B$20" lockText="1" noThreeD="1"/>
</file>

<file path=xl/ctrlProps/ctrlProp2.xml><?xml version="1.0" encoding="utf-8"?>
<formControlPr xmlns="http://schemas.microsoft.com/office/spreadsheetml/2009/9/main" objectType="CheckBox" checked="Checked" fmlaLink="B16" lockText="1" noThreeD="1"/>
</file>

<file path=xl/ctrlProps/ctrlProp3.xml><?xml version="1.0" encoding="utf-8"?>
<formControlPr xmlns="http://schemas.microsoft.com/office/spreadsheetml/2009/9/main" objectType="Drop" dropStyle="combo" dx="31" fmlaLink="$B$5" fmlaRange="peakstructure" noThreeD="1" sel="2" val="0"/>
</file>

<file path=xl/ctrlProps/ctrlProp4.xml><?xml version="1.0" encoding="utf-8"?>
<formControlPr xmlns="http://schemas.microsoft.com/office/spreadsheetml/2009/9/main" objectType="Drop" dropStyle="combo" dx="31" fmlaLink="$B$6" fmlaRange="howsharp" noThreeD="1" sel="2" val="0"/>
</file>

<file path=xl/ctrlProps/ctrlProp5.xml><?xml version="1.0" encoding="utf-8"?>
<formControlPr xmlns="http://schemas.microsoft.com/office/spreadsheetml/2009/9/main" objectType="CheckBox" checked="Checked" fmlaLink="$B$7" lockText="1" noThreeD="1"/>
</file>

<file path=xl/ctrlProps/ctrlProp6.xml><?xml version="1.0" encoding="utf-8"?>
<formControlPr xmlns="http://schemas.microsoft.com/office/spreadsheetml/2009/9/main" objectType="CheckBox" checked="Checked" fmlaLink="$B$8" lockText="1" noThreeD="1"/>
</file>

<file path=xl/ctrlProps/ctrlProp7.xml><?xml version="1.0" encoding="utf-8"?>
<formControlPr xmlns="http://schemas.microsoft.com/office/spreadsheetml/2009/9/main" objectType="Drop" dropStyle="combo" dx="31" fmlaLink="$B$13" fmlaRange="remainder" noThreeD="1" sel="2" val="0"/>
</file>

<file path=xl/ctrlProps/ctrlProp8.xml><?xml version="1.0" encoding="utf-8"?>
<formControlPr xmlns="http://schemas.microsoft.com/office/spreadsheetml/2009/9/main" objectType="CheckBox" checked="Checked" fmlaLink="$B$7" lockText="1" noThreeD="1"/>
</file>

<file path=xl/ctrlProps/ctrlProp9.xml><?xml version="1.0" encoding="utf-8"?>
<formControlPr xmlns="http://schemas.microsoft.com/office/spreadsheetml/2009/9/main" objectType="CheckBox" checked="Checked" fmlaLink="$B$13"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12</xdr:col>
      <xdr:colOff>463550</xdr:colOff>
      <xdr:row>6</xdr:row>
      <xdr:rowOff>76200</xdr:rowOff>
    </xdr:to>
    <xdr:pic>
      <xdr:nvPicPr>
        <xdr:cNvPr id="2" name="Picture 1">
          <a:extLst>
            <a:ext uri="{FF2B5EF4-FFF2-40B4-BE49-F238E27FC236}">
              <a16:creationId xmlns:a16="http://schemas.microsoft.com/office/drawing/2014/main" id="{F918D205-01B3-4AE2-8966-AC82C9CF756E}"/>
            </a:ext>
          </a:extLst>
        </xdr:cNvPr>
        <xdr:cNvPicPr>
          <a:picLocks noChangeAspect="1"/>
        </xdr:cNvPicPr>
      </xdr:nvPicPr>
      <xdr:blipFill rotWithShape="1">
        <a:blip xmlns:r="http://schemas.openxmlformats.org/officeDocument/2006/relationships" r:embed="rId1">
          <a:alphaModFix/>
        </a:blip>
        <a:srcRect r="2517" b="5527"/>
        <a:stretch/>
      </xdr:blipFill>
      <xdr:spPr>
        <a:xfrm>
          <a:off x="0" y="1"/>
          <a:ext cx="10693400" cy="196214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152400</xdr:colOff>
          <xdr:row>3</xdr:row>
          <xdr:rowOff>127000</xdr:rowOff>
        </xdr:from>
        <xdr:to>
          <xdr:col>3</xdr:col>
          <xdr:colOff>1041400</xdr:colOff>
          <xdr:row>3</xdr:row>
          <xdr:rowOff>349250</xdr:rowOff>
        </xdr:to>
        <xdr:sp macro="" textlink="">
          <xdr:nvSpPr>
            <xdr:cNvPr id="5121" name="Drop Down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4</xdr:col>
      <xdr:colOff>619125</xdr:colOff>
      <xdr:row>39</xdr:row>
      <xdr:rowOff>44450</xdr:rowOff>
    </xdr:from>
    <xdr:to>
      <xdr:col>8</xdr:col>
      <xdr:colOff>146050</xdr:colOff>
      <xdr:row>46</xdr:row>
      <xdr:rowOff>254000</xdr:rowOff>
    </xdr:to>
    <xdr:graphicFrame macro="">
      <xdr:nvGraphicFramePr>
        <xdr:cNvPr id="2" name="Chart 1">
          <a:extLst>
            <a:ext uri="{FF2B5EF4-FFF2-40B4-BE49-F238E27FC236}">
              <a16:creationId xmlns:a16="http://schemas.microsoft.com/office/drawing/2014/main" id="{06BC5046-7762-88C3-7231-4B0AB38BDA7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342900</xdr:colOff>
          <xdr:row>15</xdr:row>
          <xdr:rowOff>120650</xdr:rowOff>
        </xdr:from>
        <xdr:to>
          <xdr:col>11</xdr:col>
          <xdr:colOff>692150</xdr:colOff>
          <xdr:row>15</xdr:row>
          <xdr:rowOff>381000</xdr:rowOff>
        </xdr:to>
        <xdr:sp macro="" textlink="">
          <xdr:nvSpPr>
            <xdr:cNvPr id="8197" name="Check Box 5" descr=" Tick for Carbon Price to be included" hidden="1">
              <a:extLst>
                <a:ext uri="{63B3BB69-23CF-44E3-9099-C40C66FF867C}">
                  <a14:compatExt spid="_x0000_s8197"/>
                </a:ext>
                <a:ext uri="{FF2B5EF4-FFF2-40B4-BE49-F238E27FC236}">
                  <a16:creationId xmlns:a16="http://schemas.microsoft.com/office/drawing/2014/main" id="{00000000-0008-0000-05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   Tick for Carbon Price to be included</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76200</xdr:colOff>
          <xdr:row>4</xdr:row>
          <xdr:rowOff>101600</xdr:rowOff>
        </xdr:from>
        <xdr:to>
          <xdr:col>6</xdr:col>
          <xdr:colOff>0</xdr:colOff>
          <xdr:row>4</xdr:row>
          <xdr:rowOff>342900</xdr:rowOff>
        </xdr:to>
        <xdr:sp macro="" textlink="">
          <xdr:nvSpPr>
            <xdr:cNvPr id="9220" name="Drop Down 4" hidden="1">
              <a:extLst>
                <a:ext uri="{63B3BB69-23CF-44E3-9099-C40C66FF867C}">
                  <a14:compatExt spid="_x0000_s9220"/>
                </a:ext>
                <a:ext uri="{FF2B5EF4-FFF2-40B4-BE49-F238E27FC236}">
                  <a16:creationId xmlns:a16="http://schemas.microsoft.com/office/drawing/2014/main" id="{00000000-0008-0000-0600-0000042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5</xdr:row>
          <xdr:rowOff>101600</xdr:rowOff>
        </xdr:from>
        <xdr:to>
          <xdr:col>6</xdr:col>
          <xdr:colOff>0</xdr:colOff>
          <xdr:row>5</xdr:row>
          <xdr:rowOff>342900</xdr:rowOff>
        </xdr:to>
        <xdr:sp macro="" textlink="">
          <xdr:nvSpPr>
            <xdr:cNvPr id="9221" name="Drop Down 5" hidden="1">
              <a:extLst>
                <a:ext uri="{63B3BB69-23CF-44E3-9099-C40C66FF867C}">
                  <a14:compatExt spid="_x0000_s9221"/>
                </a:ext>
                <a:ext uri="{FF2B5EF4-FFF2-40B4-BE49-F238E27FC236}">
                  <a16:creationId xmlns:a16="http://schemas.microsoft.com/office/drawing/2014/main" id="{00000000-0008-0000-0600-0000052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6</xdr:row>
          <xdr:rowOff>114300</xdr:rowOff>
        </xdr:from>
        <xdr:to>
          <xdr:col>5</xdr:col>
          <xdr:colOff>781050</xdr:colOff>
          <xdr:row>6</xdr:row>
          <xdr:rowOff>374650</xdr:rowOff>
        </xdr:to>
        <xdr:sp macro="" textlink="">
          <xdr:nvSpPr>
            <xdr:cNvPr id="9222" name="Check Box 6" descr="Tick for Yes" hidden="1">
              <a:extLst>
                <a:ext uri="{63B3BB69-23CF-44E3-9099-C40C66FF867C}">
                  <a14:compatExt spid="_x0000_s9222"/>
                </a:ext>
                <a:ext uri="{FF2B5EF4-FFF2-40B4-BE49-F238E27FC236}">
                  <a16:creationId xmlns:a16="http://schemas.microsoft.com/office/drawing/2014/main" id="{00000000-0008-0000-06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7</xdr:row>
          <xdr:rowOff>127000</xdr:rowOff>
        </xdr:from>
        <xdr:to>
          <xdr:col>5</xdr:col>
          <xdr:colOff>781050</xdr:colOff>
          <xdr:row>7</xdr:row>
          <xdr:rowOff>381000</xdr:rowOff>
        </xdr:to>
        <xdr:sp macro="" textlink="">
          <xdr:nvSpPr>
            <xdr:cNvPr id="9223" name="Check Box 7" descr="Tick for Yes" hidden="1">
              <a:extLst>
                <a:ext uri="{63B3BB69-23CF-44E3-9099-C40C66FF867C}">
                  <a14:compatExt spid="_x0000_s9223"/>
                </a:ext>
                <a:ext uri="{FF2B5EF4-FFF2-40B4-BE49-F238E27FC236}">
                  <a16:creationId xmlns:a16="http://schemas.microsoft.com/office/drawing/2014/main" id="{00000000-0008-0000-06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12</xdr:row>
          <xdr:rowOff>133350</xdr:rowOff>
        </xdr:from>
        <xdr:to>
          <xdr:col>6</xdr:col>
          <xdr:colOff>0</xdr:colOff>
          <xdr:row>12</xdr:row>
          <xdr:rowOff>374650</xdr:rowOff>
        </xdr:to>
        <xdr:sp macro="" textlink="">
          <xdr:nvSpPr>
            <xdr:cNvPr id="9224" name="Drop Down 8" hidden="1">
              <a:extLst>
                <a:ext uri="{63B3BB69-23CF-44E3-9099-C40C66FF867C}">
                  <a14:compatExt spid="_x0000_s9224"/>
                </a:ext>
                <a:ext uri="{FF2B5EF4-FFF2-40B4-BE49-F238E27FC236}">
                  <a16:creationId xmlns:a16="http://schemas.microsoft.com/office/drawing/2014/main" id="{00000000-0008-0000-0600-0000082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3</xdr:col>
      <xdr:colOff>0</xdr:colOff>
      <xdr:row>45</xdr:row>
      <xdr:rowOff>0</xdr:rowOff>
    </xdr:from>
    <xdr:to>
      <xdr:col>5</xdr:col>
      <xdr:colOff>1641475</xdr:colOff>
      <xdr:row>64</xdr:row>
      <xdr:rowOff>141288</xdr:rowOff>
    </xdr:to>
    <xdr:graphicFrame macro="">
      <xdr:nvGraphicFramePr>
        <xdr:cNvPr id="2" name="Chart 1">
          <a:extLst>
            <a:ext uri="{FF2B5EF4-FFF2-40B4-BE49-F238E27FC236}">
              <a16:creationId xmlns:a16="http://schemas.microsoft.com/office/drawing/2014/main" id="{257B239D-6433-4814-9A78-95DDB73C37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1866900</xdr:colOff>
      <xdr:row>45</xdr:row>
      <xdr:rowOff>38100</xdr:rowOff>
    </xdr:from>
    <xdr:to>
      <xdr:col>11</xdr:col>
      <xdr:colOff>458788</xdr:colOff>
      <xdr:row>59</xdr:row>
      <xdr:rowOff>58739</xdr:rowOff>
    </xdr:to>
    <xdr:graphicFrame macro="">
      <xdr:nvGraphicFramePr>
        <xdr:cNvPr id="7" name="Chart 6">
          <a:extLst>
            <a:ext uri="{FF2B5EF4-FFF2-40B4-BE49-F238E27FC236}">
              <a16:creationId xmlns:a16="http://schemas.microsoft.com/office/drawing/2014/main" id="{79CE9E9E-2763-447F-939D-8B8764E9A3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546100</xdr:colOff>
          <xdr:row>6</xdr:row>
          <xdr:rowOff>25400</xdr:rowOff>
        </xdr:from>
        <xdr:to>
          <xdr:col>4</xdr:col>
          <xdr:colOff>1022350</xdr:colOff>
          <xdr:row>6</xdr:row>
          <xdr:rowOff>285750</xdr:rowOff>
        </xdr:to>
        <xdr:sp macro="" textlink="">
          <xdr:nvSpPr>
            <xdr:cNvPr id="13314" name="Check Box 2" descr="Tick for Yes" hidden="1">
              <a:extLst>
                <a:ext uri="{63B3BB69-23CF-44E3-9099-C40C66FF867C}">
                  <a14:compatExt spid="_x0000_s13314"/>
                </a:ext>
                <a:ext uri="{FF2B5EF4-FFF2-40B4-BE49-F238E27FC236}">
                  <a16:creationId xmlns:a16="http://schemas.microsoft.com/office/drawing/2014/main" id="{00000000-0008-0000-0700-00000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546100</xdr:colOff>
          <xdr:row>12</xdr:row>
          <xdr:rowOff>25400</xdr:rowOff>
        </xdr:from>
        <xdr:to>
          <xdr:col>4</xdr:col>
          <xdr:colOff>1016000</xdr:colOff>
          <xdr:row>12</xdr:row>
          <xdr:rowOff>285750</xdr:rowOff>
        </xdr:to>
        <xdr:sp macro="" textlink="">
          <xdr:nvSpPr>
            <xdr:cNvPr id="13315" name="Check Box 3" descr="Tick for Yes" hidden="1">
              <a:extLst>
                <a:ext uri="{63B3BB69-23CF-44E3-9099-C40C66FF867C}">
                  <a14:compatExt spid="_x0000_s13315"/>
                </a:ext>
                <a:ext uri="{FF2B5EF4-FFF2-40B4-BE49-F238E27FC236}">
                  <a16:creationId xmlns:a16="http://schemas.microsoft.com/office/drawing/2014/main" id="{00000000-0008-0000-0700-00000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546100</xdr:colOff>
          <xdr:row>19</xdr:row>
          <xdr:rowOff>25400</xdr:rowOff>
        </xdr:from>
        <xdr:to>
          <xdr:col>4</xdr:col>
          <xdr:colOff>1016000</xdr:colOff>
          <xdr:row>19</xdr:row>
          <xdr:rowOff>285750</xdr:rowOff>
        </xdr:to>
        <xdr:sp macro="" textlink="">
          <xdr:nvSpPr>
            <xdr:cNvPr id="13316" name="Check Box 4" descr="Tick for Yes" hidden="1">
              <a:extLst>
                <a:ext uri="{63B3BB69-23CF-44E3-9099-C40C66FF867C}">
                  <a14:compatExt spid="_x0000_s13316"/>
                </a:ext>
                <a:ext uri="{FF2B5EF4-FFF2-40B4-BE49-F238E27FC236}">
                  <a16:creationId xmlns:a16="http://schemas.microsoft.com/office/drawing/2014/main" id="{00000000-0008-0000-0700-00000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11</xdr:col>
      <xdr:colOff>95250</xdr:colOff>
      <xdr:row>9</xdr:row>
      <xdr:rowOff>25400</xdr:rowOff>
    </xdr:from>
    <xdr:to>
      <xdr:col>11</xdr:col>
      <xdr:colOff>425497</xdr:colOff>
      <xdr:row>11</xdr:row>
      <xdr:rowOff>247758</xdr:rowOff>
    </xdr:to>
    <xdr:pic>
      <xdr:nvPicPr>
        <xdr:cNvPr id="2" name="Picture 1">
          <a:extLst>
            <a:ext uri="{FF2B5EF4-FFF2-40B4-BE49-F238E27FC236}">
              <a16:creationId xmlns:a16="http://schemas.microsoft.com/office/drawing/2014/main" id="{AECC2498-23EC-34D1-E352-07ADEBD1864D}"/>
            </a:ext>
          </a:extLst>
        </xdr:cNvPr>
        <xdr:cNvPicPr>
          <a:picLocks noChangeAspect="1"/>
        </xdr:cNvPicPr>
      </xdr:nvPicPr>
      <xdr:blipFill>
        <a:blip xmlns:r="http://schemas.openxmlformats.org/officeDocument/2006/relationships" r:embed="rId1"/>
        <a:stretch>
          <a:fillRect/>
        </a:stretch>
      </xdr:blipFill>
      <xdr:spPr>
        <a:xfrm>
          <a:off x="11544300" y="2035175"/>
          <a:ext cx="333422" cy="77480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absoluteAnchor>
    <xdr:pos x="0" y="0"/>
    <xdr:ext cx="9299677" cy="6073468"/>
    <xdr:graphicFrame macro="">
      <xdr:nvGraphicFramePr>
        <xdr:cNvPr id="2" name="Chart 1">
          <a:extLst>
            <a:ext uri="{FF2B5EF4-FFF2-40B4-BE49-F238E27FC236}">
              <a16:creationId xmlns:a16="http://schemas.microsoft.com/office/drawing/2014/main" id="{CC75BFEC-FAC7-3929-4788-34EBA8D0D93C}"/>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8.xml><?xml version="1.0" encoding="utf-8"?>
<xdr:wsDr xmlns:xdr="http://schemas.openxmlformats.org/drawingml/2006/spreadsheetDrawing" xmlns:a="http://schemas.openxmlformats.org/drawingml/2006/main">
  <xdr:twoCellAnchor>
    <xdr:from>
      <xdr:col>47</xdr:col>
      <xdr:colOff>25400</xdr:colOff>
      <xdr:row>19</xdr:row>
      <xdr:rowOff>7936</xdr:rowOff>
    </xdr:from>
    <xdr:to>
      <xdr:col>57</xdr:col>
      <xdr:colOff>568325</xdr:colOff>
      <xdr:row>46</xdr:row>
      <xdr:rowOff>171449</xdr:rowOff>
    </xdr:to>
    <xdr:graphicFrame macro="">
      <xdr:nvGraphicFramePr>
        <xdr:cNvPr id="2" name="Chart 1">
          <a:extLst>
            <a:ext uri="{FF2B5EF4-FFF2-40B4-BE49-F238E27FC236}">
              <a16:creationId xmlns:a16="http://schemas.microsoft.com/office/drawing/2014/main" id="{3362553F-82C5-6DA6-4CD5-037D485D6FA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58</xdr:col>
      <xdr:colOff>284162</xdr:colOff>
      <xdr:row>19</xdr:row>
      <xdr:rowOff>17460</xdr:rowOff>
    </xdr:from>
    <xdr:to>
      <xdr:col>75</xdr:col>
      <xdr:colOff>0</xdr:colOff>
      <xdr:row>41</xdr:row>
      <xdr:rowOff>57149</xdr:rowOff>
    </xdr:to>
    <xdr:graphicFrame macro="">
      <xdr:nvGraphicFramePr>
        <xdr:cNvPr id="3" name="Chart 2">
          <a:extLst>
            <a:ext uri="{FF2B5EF4-FFF2-40B4-BE49-F238E27FC236}">
              <a16:creationId xmlns:a16="http://schemas.microsoft.com/office/drawing/2014/main" id="{31CB2908-4FF0-B0F1-AF04-F1C55556765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personal/smihl004_mymail_unisa_edu_au/Documents/Documents/PhD/active/reimagining%20tariffs4.xlsx" TargetMode="External"/><Relationship Id="rId2" Type="http://schemas.openxmlformats.org/officeDocument/2006/relationships/externalLinkPath" Target="https://mymailunisaedu-my.sharepoint.com/personal/smihl004_mymail_unisa_edu_au/Documents/Documents/PhD/active/reimagining%20tariffs4.xlsx" TargetMode="External"/><Relationship Id="rId1" Type="http://schemas.openxmlformats.org/officeDocument/2006/relationships/externalLinkPath" Target="/personal/smihl004_mymail_unisa_edu_au/Documents/Documents/PhD/active/reimagining%20tariffs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Welcome"/>
      <sheetName val="Background"/>
      <sheetName val="Instructions"/>
      <sheetName val="1.Choose State"/>
      <sheetName val="2.Check reference home"/>
      <sheetName val="3. Check default costs"/>
      <sheetName val="dud Check default costs"/>
      <sheetName val="3.Charges"/>
      <sheetName val="Calculator"/>
      <sheetName val="SA Residential data"/>
      <sheetName val="lookups"/>
      <sheetName val="Comparison chart"/>
      <sheetName val="Calcs"/>
      <sheetName val="Categories"/>
      <sheetName val="State Costs"/>
    </sheetNames>
    <sheetDataSet>
      <sheetData sheetId="0"/>
      <sheetData sheetId="1"/>
      <sheetData sheetId="2"/>
      <sheetData sheetId="3"/>
      <sheetData sheetId="4"/>
      <sheetData sheetId="5"/>
      <sheetData sheetId="6"/>
      <sheetData sheetId="7"/>
      <sheetData sheetId="8"/>
      <sheetData sheetId="9"/>
      <sheetData sheetId="10"/>
      <sheetData sheetId="11" refreshError="1"/>
      <sheetData sheetId="12"/>
      <sheetData sheetId="13"/>
      <sheetData sheetId="14"/>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Smith, Heather Louise - smihl004" id="{CF0F878E-5A16-4AD2-896D-E33529B2E8E3}" userId="S::smihl004@mymail.unisa.edu.au::07810f99-4078-4be0-9f13-33f2fc82a102" providerId="AD"/>
</personList>
</file>

<file path=xl/theme/theme1.xml><?xml version="1.0" encoding="utf-8"?>
<a:theme xmlns:a="http://schemas.openxmlformats.org/drawingml/2006/main" name="Office Theme">
  <a:themeElements>
    <a:clrScheme name="energy together">
      <a:dk1>
        <a:sysClr val="windowText" lastClr="000000"/>
      </a:dk1>
      <a:lt1>
        <a:sysClr val="window" lastClr="FFFFFF"/>
      </a:lt1>
      <a:dk2>
        <a:srgbClr val="004C43"/>
      </a:dk2>
      <a:lt2>
        <a:srgbClr val="E7E6E6"/>
      </a:lt2>
      <a:accent1>
        <a:srgbClr val="52ABFF"/>
      </a:accent1>
      <a:accent2>
        <a:srgbClr val="DDFF22"/>
      </a:accent2>
      <a:accent3>
        <a:srgbClr val="319280"/>
      </a:accent3>
      <a:accent4>
        <a:srgbClr val="86DCC4"/>
      </a:accent4>
      <a:accent5>
        <a:srgbClr val="ACD5FF"/>
      </a:accent5>
      <a:accent6>
        <a:srgbClr val="FAFFE9"/>
      </a:accent6>
      <a:hlink>
        <a:srgbClr val="0563C1"/>
      </a:hlink>
      <a:folHlink>
        <a:srgbClr val="954F72"/>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E13" dT="2025-08-03T05:43:50.47" personId="{CF0F878E-5A16-4AD2-896D-E33529B2E8E3}" id="{32EA26C6-CB98-43B8-8A77-28BC94F281EB}">
    <text>1800kWh is my average consumption of electric hot water and is expected to be flexible</text>
  </threadedComment>
  <threadedComment ref="I13" dT="2025-08-03T05:43:50.47" personId="{CF0F878E-5A16-4AD2-896D-E33529B2E8E3}" id="{7830EA02-231A-49B7-8FFB-C74AD2E47149}">
    <text>1800kWh is my average consumption of electric hot water and is expected to be flexible</text>
  </threadedComment>
</ThreadedComments>
</file>

<file path=xl/threadedComments/threadedComment2.xml><?xml version="1.0" encoding="utf-8"?>
<ThreadedComments xmlns="http://schemas.microsoft.com/office/spreadsheetml/2018/threadedcomments" xmlns:x="http://schemas.openxmlformats.org/spreadsheetml/2006/main">
  <threadedComment ref="D29" dT="2025-08-11T02:32:43.67" personId="{CF0F878E-5A16-4AD2-896D-E33529B2E8E3}" id="{B72E1AA8-B6EB-4F8F-82AB-8AED4CBC15A0}">
    <text>You can put in two of your own Households in “Different homes” tab</text>
  </threadedComment>
</ThreadedComments>
</file>

<file path=xl/threadedComments/threadedComment3.xml><?xml version="1.0" encoding="utf-8"?>
<ThreadedComments xmlns="http://schemas.microsoft.com/office/spreadsheetml/2018/threadedcomments" xmlns:x="http://schemas.openxmlformats.org/spreadsheetml/2006/main">
  <threadedComment ref="E11" dT="2025-08-15T08:39:30.73" personId="{CF0F878E-5A16-4AD2-896D-E33529B2E8E3}" id="{C2C96315-4BFC-4861-9424-2B6082867EE8}">
    <text>Based on my best efforts at cost-reflective approaches</text>
  </threadedComment>
</ThreadedComments>
</file>

<file path=xl/threadedComments/threadedComment4.xml><?xml version="1.0" encoding="utf-8"?>
<ThreadedComments xmlns="http://schemas.microsoft.com/office/spreadsheetml/2018/threadedcomments" xmlns:x="http://schemas.openxmlformats.org/spreadsheetml/2006/main">
  <threadedComment ref="X1" dT="2025-08-08T10:33:56.86" personId="{CF0F878E-5A16-4AD2-896D-E33529B2E8E3}" id="{0FD21D1A-6943-428E-8192-9BE16022BE68}">
    <text>I know there might be some overlap between the AEMC renewable amount and the Jurisdictional schemes captured in the DNSP data but I have added both in because the main costs for AEMC are RET costs and they have under counted the JO schemes</text>
  </threadedComment>
  <threadedComment ref="AH17" dT="2025-08-08T06:23:41.16" personId="{CF0F878E-5A16-4AD2-896D-E33529B2E8E3}" id="{38D34A13-BD6E-42DE-B4BB-CD55222B03D7}">
    <text>Estimated to be similar to NT and Qld respectively</text>
  </threadedComment>
  <threadedComment ref="E18" dT="2025-08-07T05:42:54.95" personId="{CF0F878E-5A16-4AD2-896D-E33529B2E8E3}" id="{6A687D11-4073-48F0-8DF5-19D04D491260}">
    <text>https://www.erawa.com.au/cproot/24864/2/western-power-second-annual-progress-report.PDF?utm_source=chatgpt.com</text>
    <extLst>
      <x:ext xmlns:xltc2="http://schemas.microsoft.com/office/spreadsheetml/2020/threadedcomments2" uri="{F7C98A9C-CBB3-438F-8F68-D28B6AF4A901}">
        <xltc2:checksum>2149564141</xltc2:checksum>
        <xltc2:hyperlink startIndex="0" length="110" url="https://www.erawa.com.au/cproot/24864/2/western-power-second-annual-progress-report.PDF?utm_source=chatgpt.com"/>
      </x:ext>
    </extLst>
  </threadedComment>
  <threadedComment ref="O29" dT="2025-08-10T08:13:24.27" personId="{CF0F878E-5A16-4AD2-896D-E33529B2E8E3}" id="{8F4E09EE-7E55-4E16-BE02-18B5983E1CB5}">
    <text>I proportioned this on a per customer basis to allay fears that self-sufficient communities won’t contribute to the grid</text>
  </threadedComment>
  <threadedComment ref="U29" dT="2025-08-10T08:23:27.63" personId="{CF0F878E-5A16-4AD2-896D-E33529B2E8E3}" id="{A9E9D98E-7A8F-42DC-88BC-6178F18D0159}">
    <text>I apportioned this by kWh ie by volume</text>
  </threadedComment>
  <threadedComment ref="V29" dT="2025-08-10T08:23:27.63" personId="{CF0F878E-5A16-4AD2-896D-E33529B2E8E3}" id="{39625635-27A8-452B-893A-FEAE176A8D79}">
    <text>I apportioned this by kWh ie by volume</text>
  </threadedComment>
  <threadedComment ref="W29" dT="2025-08-10T08:23:50.06" personId="{CF0F878E-5A16-4AD2-896D-E33529B2E8E3}" id="{0BF7220C-8693-42AA-8211-0D984D3F9E4E}">
    <text>I apportioned this per customer</text>
  </threadedComment>
  <threadedComment ref="AH32" dT="2025-08-08T04:42:18.17" personId="{CF0F878E-5A16-4AD2-896D-E33529B2E8E3}" id="{8C280604-7C6A-4AB1-88A7-0E7AF9CC1C6D}">
    <text>I based these on Ausgrid numbers for peak overall demand. 1.025 was consistently the ratio between MW and MVA. However at the local level 1.1 would be better. I wanted a factor that would reflect the impact all the way from local to new generation.</text>
  </threadedComment>
  <threadedComment ref="G38" dT="2025-08-08T09:32:26.13" personId="{CF0F878E-5A16-4AD2-896D-E33529B2E8E3}" id="{9E79428F-D2F9-4B8C-B6B7-34D751120C6D}">
    <text xml:space="preserve">It makes sense for something to be contributed directly toward renewables and these figures will also count in non-NEM states of NT and WA </text>
  </threadedComment>
  <threadedComment ref="D43" dT="2025-08-08T07:54:16.38" personId="{CF0F878E-5A16-4AD2-896D-E33529B2E8E3}" id="{8379E7C9-CE3E-47EC-9B93-22B5D7A1C7E2}">
    <text>I have taken out $30/customer for Bad debt -allocation of this is a choice we could revisit, so it belongs in residual. The DMO makes everything per customer and allows a retail margin of 6% on everything so I have included a per kWh charge to reflect the fact that trading on the wholesale market is managed on a per kWh basis and will come with some costs</text>
  </threadedComment>
  <threadedComment ref="H44" dT="2025-08-08T09:39:59.29" personId="{CF0F878E-5A16-4AD2-896D-E33529B2E8E3}" id="{F904C94A-1D2E-4E17-B222-CF7FB41BD853}">
    <text>This is a shortcut. $10/MWH is high for the RET but I simply subtracted it to get the remainder</text>
  </threadedComment>
  <threadedComment ref="E124" dT="2025-08-14T12:16:52.03" personId="{CF0F878E-5A16-4AD2-896D-E33529B2E8E3}" id="{307CC063-B6FA-4D1B-B136-6372B82A23D8}">
    <text>My choice is for all residual costs to be allocated on a volume (per MWh) basis because this is most closely aligned with the value delivered - we benefit when we use energy</text>
  </threadedComment>
  <threadedComment ref="B131" dT="2025-08-14T12:26:23.74" personId="{CF0F878E-5A16-4AD2-896D-E33529B2E8E3}" id="{D18D6D15-FCC4-45C7-925A-14075C74F0A1}">
    <text>My preferred option is an energy charge</text>
  </threadedComment>
  <threadedComment ref="B138" dT="2025-08-14T12:26:47.86" personId="{CF0F878E-5A16-4AD2-896D-E33529B2E8E3}" id="{6F592274-76AA-4C38-9F9F-A3B3EE1C9BF7}">
    <text>My preferred option is the top 100 hours - sharp but not impossibly sharp. In different homes Tab, I have fixed this too</text>
  </threadedComment>
  <threadedComment ref="M143" dT="2025-08-15T08:35:52.01" personId="{CF0F878E-5A16-4AD2-896D-E33529B2E8E3}" id="{0D88A019-4C81-40A8-8FEE-1B1D70DE6F79}">
    <text>Added in the carbon price</text>
  </threadedComment>
  <threadedComment ref="D144" dT="2025-08-14T12:37:30.63" personId="{CF0F878E-5A16-4AD2-896D-E33529B2E8E3}" id="{E5D029E2-5B68-4337-BA0A-AC0C657EA5DD}">
    <text>I’ve fixed these as false - I definitely want to see solar sponge and load flex pricing</text>
  </threadedComment>
  <threadedComment ref="M144" dT="2025-08-15T08:36:03.36" personId="{CF0F878E-5A16-4AD2-896D-E33529B2E8E3}" id="{6E9396DB-768D-4F53-BB32-08C04E251E7A}">
    <text>Added in the carbon price</text>
  </threadedComment>
  <threadedComment ref="E146" dT="2025-08-14T12:38:02.59" personId="{CF0F878E-5A16-4AD2-896D-E33529B2E8E3}" id="{C0A1E595-B8C0-45CF-9B5F-E013574C8FDA}">
    <text>I’ve fixed this to be 100%</text>
  </threadedComment>
  <threadedComment ref="B153" dT="2025-08-14T12:30:27.07" personId="{CF0F878E-5A16-4AD2-896D-E33529B2E8E3}" id="{02D4B149-4CBF-4DEA-B4A3-BEA1983A237C}">
    <text>I think lumping into fossil fuels only has the benefit of not making peak costs any sharper, but still protecting renewables as low costs</text>
  </threadedComment>
  <threadedComment ref="F165" dT="2025-08-15T10:32:46.66" personId="{CF0F878E-5A16-4AD2-896D-E33529B2E8E3}" id="{8C206AC6-491D-4F60-865A-F7A02C2C1590}">
    <text>I’ve just copied this over from my old calculator so it does not take into account any changes you may have made on peak loads</text>
  </threadedComment>
  <threadedComment ref="F165" dT="2025-08-21T03:09:58.29" personId="{CF0F878E-5A16-4AD2-896D-E33529B2E8E3}" id="{607E4104-1FA2-4475-A4F5-4DCF074611C2}" parentId="{8C206AC6-491D-4F60-865A-F7A02C2C1590}">
    <text>For a start we would need to agree differences in the various load profiles for different homes across peak, baseload and surplus renewables</text>
  </threadedComment>
  <threadedComment ref="F165" dT="2025-08-21T03:15:37.04" personId="{CF0F878E-5A16-4AD2-896D-E33529B2E8E3}" id="{C9302957-EAF9-449E-BACF-95C66CF959A0}" parentId="{8C206AC6-491D-4F60-865A-F7A02C2C1590}">
    <text>37% at peak times is a reflection of the top 100-200 hrs approximately, so I haven’t adjusted it for 10 hours (maybe 20%?) or 500 hours (maybe 45%)</text>
  </threadedComment>
  <threadedComment ref="C166" dT="2025-08-15T10:33:23.81" personId="{CF0F878E-5A16-4AD2-896D-E33529B2E8E3}" id="{781B4AA5-96FC-48FC-87D0-89AE30C00AA0}">
    <text>My estimates</text>
  </threadedComment>
  <threadedComment ref="N168" dT="2025-08-23T04:04:43.30" personId="{CF0F878E-5A16-4AD2-896D-E33529B2E8E3}" id="{43AE69A5-BC2C-4FA4-934C-87EFE90AFD64}">
    <text>I’ve added the carbon price into this price stack, although in earlier stacks it is part of wholesale price. The best thing would be to make a new line</text>
  </threadedComment>
</ThreadedComments>
</file>

<file path=xl/threadedComments/threadedComment5.xml><?xml version="1.0" encoding="utf-8"?>
<ThreadedComments xmlns="http://schemas.microsoft.com/office/spreadsheetml/2018/threadedcomments" xmlns:x="http://schemas.openxmlformats.org/spreadsheetml/2006/main">
  <threadedComment ref="U3" dT="2024-09-28T03:39:18.57" personId="{CF0F878E-5A16-4AD2-896D-E33529B2E8E3}" id="{90580450-6C17-4BA9-91F2-EAF6AB8F3C38}">
    <text>kWh in top 10 hrs are roughly equivalent to operating at 95% of peak load for the full 10 hrs</text>
  </threadedComment>
  <threadedComment ref="V3" dT="2024-09-28T03:40:17.35" personId="{CF0F878E-5A16-4AD2-896D-E33529B2E8E3}" id="{F3B91256-75A3-4721-8D13-D720386A34EF}">
    <text>kWh in next 90 hrs are roughly equivalent to operating at 80% of peak load for the full 90 hrs</text>
  </threadedComment>
  <threadedComment ref="W3" dT="2024-09-28T03:41:24.44" personId="{CF0F878E-5A16-4AD2-896D-E33529B2E8E3}" id="{14956777-98F7-41AA-B93A-A04A3448614C}">
    <text>kWh in next 400 hrs are roughly equivalent to operating at 65% of peak load for the full 400 hrs. This is the figure most likely to change and grow under a fully electrified scenario</text>
  </threadedComment>
  <threadedComment ref="AA4" dT="2024-09-26T09:21:22.26" personId="{CF0F878E-5A16-4AD2-896D-E33529B2E8E3}" id="{B57B2328-7863-4A86-88DC-FBC055DDBA8B}">
    <text>Look at column L and decide how much you think could be flexed. This will be deducted automatically from column V. I have put 1kWh for each housing type simply to ensure the calculator works smoothly and the reference house result flows through to other house types</text>
  </threadedComment>
  <threadedComment ref="L8" dT="2025-08-11T02:22:40.27" personId="{CF0F878E-5A16-4AD2-896D-E33529B2E8E3}" id="{4C8D4CBD-7495-4C98-9EB7-C63DFB2692C7}">
    <text>Need to take into account gas homes with solar - for ease I have assumed solar homes are evenly spread across gas homes at the same ratio as the state average although there is more of a chance that electric homes will go solar first (better savings). I have also assumed that gas homes have the same daytime consumption although it is likely to be less</text>
  </threadedComment>
  <threadedComment ref="P8" dT="2024-09-17T08:36:12.51" personId="{CF0F878E-5A16-4AD2-896D-E33529B2E8E3}" id="{D19420AB-0325-4AC2-871C-C4BE439F5BA8}">
    <text xml:space="preserve"> Please note that I think my average gas figure is too low. These averages fail to reflect the fact that gas homes tend to be larger than electric homes - but I don't have evidence or data to back up that assertion.</text>
  </threadedComment>
  <threadedComment ref="CL19" dT="2025-08-23T03:16:48.91" personId="{CF0F878E-5A16-4AD2-896D-E33529B2E8E3}" id="{1B7BBCB2-0046-4AD5-B240-39196A09681B}">
    <text>I decided that average residuals would rise but electrified homes would become the norm so the residual is spread over more kWh - this is halfway between the old residual and the prorata amount - a compromise</text>
  </threadedComment>
</ThreadedComments>
</file>

<file path=xl/threadedComments/threadedComment6.xml><?xml version="1.0" encoding="utf-8"?>
<ThreadedComments xmlns="http://schemas.microsoft.com/office/spreadsheetml/2018/threadedcomments" xmlns:x="http://schemas.openxmlformats.org/spreadsheetml/2006/main">
  <threadedComment ref="R3" dT="2024-09-28T03:39:18.57" personId="{CF0F878E-5A16-4AD2-896D-E33529B2E8E3}" id="{2CF7CAEC-9A43-41CA-975D-FF7CCE025FF2}">
    <text>kWh in top 10 hrs are roughly equivalent to operating at 95% of peak load for the full 10 hrs</text>
  </threadedComment>
  <threadedComment ref="S3" dT="2024-09-28T03:40:17.35" personId="{CF0F878E-5A16-4AD2-896D-E33529B2E8E3}" id="{0C963521-C949-4315-9567-551415471B3F}">
    <text>kWh in next 90 hrs are roughly equivalent to operating at 80% of peak load for the full 90 hrs</text>
  </threadedComment>
  <threadedComment ref="T3" dT="2024-09-28T03:41:24.44" personId="{CF0F878E-5A16-4AD2-896D-E33529B2E8E3}" id="{140F7B23-AF8F-4569-B710-A262B0A71743}">
    <text>kWh in next 400 hrs are roughly equivalent to operating at 65% of peak load for the full 400 hrs. This is the figure most likely to change and grow under a fully electrified scenario</text>
  </threadedComment>
  <threadedComment ref="X4" dT="2024-09-26T09:21:22.26" personId="{CF0F878E-5A16-4AD2-896D-E33529B2E8E3}" id="{7B624575-9F5E-4B52-834F-443120F1797B}">
    <text>Look at column L and decide how much you think could be flexed. This will be deducted automatically from column V. I have put 1kWh for each housing type simply to ensure the calculator works smoothly and the reference house result flows through to other house types</text>
  </threadedComment>
  <threadedComment ref="M8" dT="2024-09-17T08:36:12.51" personId="{CF0F878E-5A16-4AD2-896D-E33529B2E8E3}" id="{EAFEEC67-D020-46D5-98B7-5602D28AD01D}">
    <text xml:space="preserve"> Please note that I think my average gas figure is too low. These averages fail to reflect the fact that gas homes tend to be larger than electric homes - but I don't have evidence or data to back up that assertion.</text>
  </threadedComment>
  <threadedComment ref="F36" dT="2024-09-17T01:17:04.99" personId="{CF0F878E-5A16-4AD2-896D-E33529B2E8E3}" id="{37516628-8817-40F7-91AB-30D8983D3762}">
    <text>F35 and F36 don't add up because of the inactive households paying fixed costs to retailers</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www.changingweather.com.au/" TargetMode="External"/></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6.xml"/><Relationship Id="rId4" Type="http://schemas.microsoft.com/office/2017/10/relationships/threadedComment" Target="../threadedComments/threadedComment3.xml"/></Relationships>
</file>

<file path=xl/worksheets/_rels/sheet11.xml.rels><?xml version="1.0" encoding="UTF-8" standalone="yes"?>
<Relationships xmlns="http://schemas.openxmlformats.org/package/2006/relationships"><Relationship Id="rId3" Type="http://schemas.microsoft.com/office/2017/10/relationships/threadedComment" Target="../threadedComments/threadedComment4.xml"/><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12.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drawing" Target="../drawings/drawing8.xml"/><Relationship Id="rId4" Type="http://schemas.microsoft.com/office/2017/10/relationships/threadedComment" Target="../threadedComments/threadedComment5.xml"/></Relationships>
</file>

<file path=xl/worksheets/_rels/sheet13.xml.rels><?xml version="1.0" encoding="UTF-8" standalone="yes"?>
<Relationships xmlns="http://schemas.openxmlformats.org/package/2006/relationships"><Relationship Id="rId3" Type="http://schemas.microsoft.com/office/2017/10/relationships/threadedComment" Target="../threadedComments/threadedComment6.xml"/><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2.xml.rels><?xml version="1.0" encoding="UTF-8" standalone="yes"?>
<Relationships xmlns="http://schemas.openxmlformats.org/package/2006/relationships"><Relationship Id="rId8" Type="http://schemas.openxmlformats.org/officeDocument/2006/relationships/hyperlink" Target="https://www.aer.gov.au/industry/registers/resources/reviews/default-market-offer-prices-2024-25" TargetMode="External"/><Relationship Id="rId3" Type="http://schemas.openxmlformats.org/officeDocument/2006/relationships/hyperlink" Target="http://www.corenafund.org.au/" TargetMode="External"/><Relationship Id="rId7" Type="http://schemas.openxmlformats.org/officeDocument/2006/relationships/hyperlink" Target="https://www.energyrating.gov.au/industry-information/publications/report-2021-residential-baseline-study-australia-and-new-zealand-2000-2040" TargetMode="External"/><Relationship Id="rId2" Type="http://schemas.openxmlformats.org/officeDocument/2006/relationships/hyperlink" Target="http://www.c4ce.net.au/" TargetMode="External"/><Relationship Id="rId1" Type="http://schemas.openxmlformats.org/officeDocument/2006/relationships/hyperlink" Target="https://creativecommons.org/licenses/by-nc-sa/4.0/" TargetMode="External"/><Relationship Id="rId6" Type="http://schemas.openxmlformats.org/officeDocument/2006/relationships/hyperlink" Target="https://www.uts.edu.au/isf/explore-research/projects/mytown-microgrid-community-model-sustainable-energy" TargetMode="External"/><Relationship Id="rId11" Type="http://schemas.openxmlformats.org/officeDocument/2006/relationships/hyperlink" Target="https://docs.google.com/document/d/17cFkYaiQVLB_z2CuVQB2udSjWSuqgsdBZvfNh1UwOPE/edit?usp=sharing" TargetMode="External"/><Relationship Id="rId5" Type="http://schemas.openxmlformats.org/officeDocument/2006/relationships/hyperlink" Target="https://www.aer.gov.au/industry/registers/charts/seasonal-peak-demand-regions" TargetMode="External"/><Relationship Id="rId10" Type="http://schemas.openxmlformats.org/officeDocument/2006/relationships/hyperlink" Target="https://opennem.iberdrola.com.au/energy/nem/?range=1y&amp;interval=1w&amp;view=discrete-time" TargetMode="External"/><Relationship Id="rId4" Type="http://schemas.openxmlformats.org/officeDocument/2006/relationships/hyperlink" Target="https://www.changingweather.com.au/calculators" TargetMode="External"/><Relationship Id="rId9" Type="http://schemas.openxmlformats.org/officeDocument/2006/relationships/hyperlink" Target="https://docs.google.com/document/d/1GiETUvy5Qc28hM1HRElnf3Aj0zwGDhvv6pNxBQmjHLs/edit?usp=sharing"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www.corenafund.org.au/" TargetMode="External"/><Relationship Id="rId2" Type="http://schemas.openxmlformats.org/officeDocument/2006/relationships/hyperlink" Target="http://www.c4ce.net.au/" TargetMode="External"/><Relationship Id="rId1" Type="http://schemas.openxmlformats.org/officeDocument/2006/relationships/hyperlink" Target="https://creativecommons.org/licenses/by-nc-sa/4.0/" TargetMode="External"/><Relationship Id="rId6" Type="http://schemas.openxmlformats.org/officeDocument/2006/relationships/hyperlink" Target="https://docs.google.com/document/d/17cFkYaiQVLB_z2CuVQB2udSjWSuqgsdBZvfNh1UwOPE/edit?usp=sharing" TargetMode="External"/><Relationship Id="rId5" Type="http://schemas.openxmlformats.org/officeDocument/2006/relationships/hyperlink" Target="https://www.aer.gov.au/industry/registers/charts/seasonal-peak-demand-regions" TargetMode="External"/><Relationship Id="rId4" Type="http://schemas.openxmlformats.org/officeDocument/2006/relationships/hyperlink" Target="https://www.changingweather.com.au/calculators" TargetMode="External"/></Relationships>
</file>

<file path=xl/worksheets/_rels/sheet4.xml.rels><?xml version="1.0" encoding="UTF-8" standalone="yes"?>
<Relationships xmlns="http://schemas.openxmlformats.org/package/2006/relationships"><Relationship Id="rId3" Type="http://schemas.openxmlformats.org/officeDocument/2006/relationships/ctrlProp" Target="../ctrlProps/ctrlProp1.xml"/><Relationship Id="rId2" Type="http://schemas.openxmlformats.org/officeDocument/2006/relationships/vmlDrawing" Target="../drawings/vmlDrawing1.vml"/><Relationship Id="rId1" Type="http://schemas.openxmlformats.org/officeDocument/2006/relationships/drawing" Target="../drawings/drawing2.xml"/><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3" Type="http://schemas.openxmlformats.org/officeDocument/2006/relationships/ctrlProp" Target="../ctrlProps/ctrlProp2.xml"/><Relationship Id="rId2" Type="http://schemas.openxmlformats.org/officeDocument/2006/relationships/vmlDrawing" Target="../drawings/vmlDrawing3.vml"/><Relationship Id="rId1" Type="http://schemas.openxmlformats.org/officeDocument/2006/relationships/drawing" Target="../drawings/drawing3.xml"/><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8" Type="http://schemas.openxmlformats.org/officeDocument/2006/relationships/comments" Target="../comments4.xml"/><Relationship Id="rId3" Type="http://schemas.openxmlformats.org/officeDocument/2006/relationships/ctrlProp" Target="../ctrlProps/ctrlProp3.xml"/><Relationship Id="rId7" Type="http://schemas.openxmlformats.org/officeDocument/2006/relationships/ctrlProp" Target="../ctrlProps/ctrlProp7.xml"/><Relationship Id="rId2" Type="http://schemas.openxmlformats.org/officeDocument/2006/relationships/vmlDrawing" Target="../drawings/vmlDrawing4.vml"/><Relationship Id="rId1" Type="http://schemas.openxmlformats.org/officeDocument/2006/relationships/drawing" Target="../drawings/drawing4.xml"/><Relationship Id="rId6" Type="http://schemas.openxmlformats.org/officeDocument/2006/relationships/ctrlProp" Target="../ctrlProps/ctrlProp6.xml"/><Relationship Id="rId5" Type="http://schemas.openxmlformats.org/officeDocument/2006/relationships/ctrlProp" Target="../ctrlProps/ctrlProp5.xml"/><Relationship Id="rId4" Type="http://schemas.openxmlformats.org/officeDocument/2006/relationships/ctrlProp" Target="../ctrlProps/ctrlProp4.xml"/><Relationship Id="rId9" Type="http://schemas.microsoft.com/office/2017/10/relationships/threadedComment" Target="../threadedComments/threadedComment2.xml"/></Relationships>
</file>

<file path=xl/worksheets/_rels/sheet8.xml.rels><?xml version="1.0" encoding="UTF-8" standalone="yes"?>
<Relationships xmlns="http://schemas.openxmlformats.org/package/2006/relationships"><Relationship Id="rId3" Type="http://schemas.openxmlformats.org/officeDocument/2006/relationships/ctrlProp" Target="../ctrlProps/ctrlProp8.xml"/><Relationship Id="rId2" Type="http://schemas.openxmlformats.org/officeDocument/2006/relationships/vmlDrawing" Target="../drawings/vmlDrawing5.vml"/><Relationship Id="rId1" Type="http://schemas.openxmlformats.org/officeDocument/2006/relationships/drawing" Target="../drawings/drawing5.xml"/><Relationship Id="rId6" Type="http://schemas.openxmlformats.org/officeDocument/2006/relationships/comments" Target="../comments5.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9.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117822-73C8-41CD-817E-ACAD4AAB9EE2}">
  <dimension ref="B8:B12"/>
  <sheetViews>
    <sheetView workbookViewId="0">
      <selection activeCell="G12" sqref="G12"/>
    </sheetView>
  </sheetViews>
  <sheetFormatPr defaultColWidth="8.7109375" defaultRowHeight="24.95"/>
  <cols>
    <col min="1" max="1" width="3.85546875" style="2" customWidth="1"/>
    <col min="2" max="2" width="55.42578125" style="2" customWidth="1"/>
    <col min="3" max="16384" width="8.7109375" style="2"/>
  </cols>
  <sheetData>
    <row r="8" spans="2:2" ht="44.45">
      <c r="B8" s="1" t="s">
        <v>0</v>
      </c>
    </row>
    <row r="9" spans="2:2" ht="44.45">
      <c r="B9" s="1" t="s">
        <v>1</v>
      </c>
    </row>
    <row r="11" spans="2:2">
      <c r="B11" s="2" t="s">
        <v>2</v>
      </c>
    </row>
    <row r="12" spans="2:2">
      <c r="B12" s="2" t="s">
        <v>3</v>
      </c>
    </row>
  </sheetData>
  <hyperlinks>
    <hyperlink ref="B12" r:id="rId1" xr:uid="{5E403B5C-CBA1-4437-97EE-097D52D4B723}"/>
  </hyperlinks>
  <pageMargins left="0.7" right="0.7" top="0.75" bottom="0.75" header="0.3" footer="0.3"/>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714DAC-950E-451F-97ED-E65990B67CBF}">
  <sheetPr>
    <tabColor rgb="FFFF85FF"/>
  </sheetPr>
  <dimension ref="A1:AD30"/>
  <sheetViews>
    <sheetView workbookViewId="0"/>
  </sheetViews>
  <sheetFormatPr defaultColWidth="8.7109375" defaultRowHeight="14.1"/>
  <cols>
    <col min="1" max="1" width="3.42578125" style="335" customWidth="1"/>
    <col min="2" max="2" width="14.28515625" style="338" hidden="1" customWidth="1"/>
    <col min="3" max="3" width="8.7109375" style="15"/>
    <col min="4" max="4" width="55.42578125" style="21" customWidth="1"/>
    <col min="5" max="7" width="13.42578125" style="30" customWidth="1"/>
    <col min="8" max="11" width="14.140625" style="30" customWidth="1"/>
    <col min="12" max="12" width="6.42578125" style="30" customWidth="1"/>
    <col min="13" max="16" width="13.42578125" style="30" customWidth="1"/>
    <col min="17" max="17" width="13.42578125" style="15" customWidth="1"/>
    <col min="18" max="16384" width="8.7109375" style="15"/>
  </cols>
  <sheetData>
    <row r="1" spans="1:30" s="337" customFormat="1">
      <c r="A1" s="335"/>
      <c r="B1" s="338"/>
      <c r="D1" s="384"/>
      <c r="E1" s="383"/>
      <c r="F1" s="383"/>
      <c r="G1" s="383"/>
      <c r="H1" s="383"/>
      <c r="I1" s="383"/>
      <c r="J1" s="383"/>
      <c r="K1" s="383"/>
      <c r="L1" s="383"/>
      <c r="M1" s="383"/>
      <c r="N1" s="383"/>
      <c r="O1" s="383"/>
      <c r="P1" s="383"/>
    </row>
    <row r="2" spans="1:30" ht="18" customHeight="1">
      <c r="B2" s="338" t="str">
        <f>'1. Choose State'!K4</f>
        <v>NEM</v>
      </c>
      <c r="V2" s="17"/>
    </row>
    <row r="3" spans="1:30" ht="18" customHeight="1">
      <c r="D3" s="183" t="s">
        <v>363</v>
      </c>
      <c r="V3" s="17"/>
    </row>
    <row r="4" spans="1:30" ht="18" customHeight="1">
      <c r="D4" s="21" t="s">
        <v>364</v>
      </c>
      <c r="E4" s="299" t="str">
        <f>IF('3. Charges'!B16,"Yes","no")</f>
        <v>Yes</v>
      </c>
      <c r="F4" s="299"/>
      <c r="V4" s="17"/>
    </row>
    <row r="5" spans="1:30" ht="18" customHeight="1">
      <c r="D5" s="21" t="s">
        <v>365</v>
      </c>
      <c r="E5" s="395">
        <f>'4. Calculator'!F10</f>
        <v>0</v>
      </c>
      <c r="F5" s="299" t="s">
        <v>366</v>
      </c>
      <c r="V5" s="17"/>
    </row>
    <row r="6" spans="1:30" ht="18" customHeight="1">
      <c r="E6" s="395">
        <f>'4. Calculator'!F11</f>
        <v>0</v>
      </c>
      <c r="F6" s="299" t="s">
        <v>367</v>
      </c>
      <c r="V6" s="17"/>
    </row>
    <row r="7" spans="1:30" ht="18" customHeight="1">
      <c r="E7" s="395">
        <f>'4. Calculator'!F12</f>
        <v>1</v>
      </c>
      <c r="F7" s="299" t="s">
        <v>368</v>
      </c>
      <c r="V7" s="17"/>
    </row>
    <row r="8" spans="1:30" ht="18" customHeight="1">
      <c r="D8" s="21" t="s">
        <v>369</v>
      </c>
      <c r="E8" s="398">
        <f>'Different homes'!CO5</f>
        <v>246.53457833818038</v>
      </c>
      <c r="F8" s="299" t="s">
        <v>370</v>
      </c>
      <c r="V8" s="17"/>
    </row>
    <row r="9" spans="1:30" ht="18" customHeight="1">
      <c r="D9" s="21" t="s">
        <v>371</v>
      </c>
      <c r="E9" s="395">
        <f>1-'Different homes'!CL5/'Different homes'!CP5</f>
        <v>0.86181897988119915</v>
      </c>
      <c r="F9" s="299"/>
      <c r="V9" s="17"/>
    </row>
    <row r="10" spans="1:30" ht="21.95" customHeight="1">
      <c r="K10" s="15"/>
      <c r="L10" s="298"/>
      <c r="M10" s="346" t="s">
        <v>372</v>
      </c>
      <c r="N10" s="346"/>
      <c r="O10" s="379"/>
      <c r="P10" s="379"/>
      <c r="U10" s="19"/>
    </row>
    <row r="11" spans="1:30" ht="21.95" customHeight="1">
      <c r="D11" s="183" t="s">
        <v>373</v>
      </c>
      <c r="E11" s="298" t="s">
        <v>374</v>
      </c>
      <c r="F11" s="298" t="s">
        <v>375</v>
      </c>
      <c r="G11" s="298"/>
      <c r="H11" s="298" t="s">
        <v>314</v>
      </c>
      <c r="J11" s="298" t="s">
        <v>376</v>
      </c>
      <c r="L11" s="177"/>
      <c r="M11" s="346" t="s">
        <v>377</v>
      </c>
      <c r="N11" s="346"/>
      <c r="O11" s="177"/>
      <c r="P11" s="177"/>
      <c r="Q11" s="19"/>
      <c r="R11" s="19"/>
      <c r="S11" s="19"/>
      <c r="T11" s="19"/>
      <c r="U11" s="19"/>
    </row>
    <row r="12" spans="1:30" s="21" customFormat="1" ht="21.95" customHeight="1">
      <c r="A12" s="336"/>
      <c r="B12" s="339" t="e">
        <f>IF(#REF!,#REF!,#REF!)</f>
        <v>#REF!</v>
      </c>
      <c r="D12" s="292"/>
      <c r="E12" s="22" t="s">
        <v>328</v>
      </c>
      <c r="F12" s="22" t="s">
        <v>328</v>
      </c>
      <c r="G12" s="174" t="s">
        <v>378</v>
      </c>
      <c r="H12" s="22" t="s">
        <v>328</v>
      </c>
      <c r="I12" s="174" t="s">
        <v>378</v>
      </c>
      <c r="J12" s="22" t="s">
        <v>328</v>
      </c>
      <c r="K12" s="174" t="s">
        <v>378</v>
      </c>
      <c r="L12" s="32"/>
      <c r="M12" s="346" t="s">
        <v>379</v>
      </c>
      <c r="N12" s="346"/>
      <c r="O12" s="382"/>
      <c r="P12" s="382"/>
      <c r="Q12" s="28"/>
      <c r="R12" s="29"/>
      <c r="V12" s="30"/>
      <c r="W12" s="30"/>
      <c r="X12" s="30"/>
      <c r="Y12" s="30"/>
      <c r="Z12" s="31"/>
      <c r="AA12" s="30"/>
      <c r="AB12" s="30"/>
      <c r="AC12" s="30"/>
      <c r="AD12" s="30"/>
    </row>
    <row r="13" spans="1:30" s="21" customFormat="1" ht="18" customHeight="1">
      <c r="A13" s="336"/>
      <c r="B13" s="339" t="e">
        <f>IF(#REF!,#REF!,#REF!)</f>
        <v>#REF!</v>
      </c>
      <c r="D13" s="292" t="str">
        <f>'Different homes'!C5</f>
        <v>Reference household</v>
      </c>
      <c r="E13" s="385">
        <f>'Different homes'!CP5</f>
        <v>1784.1421211554439</v>
      </c>
      <c r="F13" s="385">
        <f>'Different homes'!BA5</f>
        <v>1784.1421211554434</v>
      </c>
      <c r="G13" s="386">
        <f t="shared" ref="G13:G25" si="0">F13-E13</f>
        <v>0</v>
      </c>
      <c r="H13" s="385">
        <f>'Different homes'!AW5</f>
        <v>1784.1421211554441</v>
      </c>
      <c r="I13" s="386">
        <f t="shared" ref="I13:I25" si="1">H13-E13</f>
        <v>0</v>
      </c>
      <c r="J13" s="385">
        <f>'Different homes'!CB5</f>
        <v>1784.1421211554439</v>
      </c>
      <c r="K13" s="386">
        <f>J13-E13</f>
        <v>0</v>
      </c>
      <c r="L13" s="32"/>
      <c r="M13" s="382"/>
      <c r="N13" s="382"/>
      <c r="O13" s="382"/>
      <c r="P13" s="382"/>
      <c r="Q13" s="28"/>
      <c r="R13" s="29"/>
      <c r="V13" s="30"/>
      <c r="W13" s="23"/>
      <c r="X13" s="23"/>
      <c r="Y13" s="23"/>
      <c r="Z13" s="31"/>
      <c r="AA13" s="23"/>
      <c r="AB13" s="23"/>
      <c r="AC13" s="30"/>
      <c r="AD13" s="23"/>
    </row>
    <row r="14" spans="1:30" s="21" customFormat="1" ht="18" customHeight="1">
      <c r="A14" s="336"/>
      <c r="B14" s="339" t="e">
        <f>IF(#REF!,#REF!,#REF!)</f>
        <v>#REF!</v>
      </c>
      <c r="D14" s="292" t="str">
        <f>'Different homes'!C6</f>
        <v>average solar home</v>
      </c>
      <c r="E14" s="385">
        <f>'Different homes'!CP6</f>
        <v>1644.9780501652526</v>
      </c>
      <c r="F14" s="385">
        <f>'Different homes'!BA6</f>
        <v>1411.2487097549431</v>
      </c>
      <c r="G14" s="386">
        <f t="shared" si="0"/>
        <v>-233.72934041030953</v>
      </c>
      <c r="H14" s="385">
        <f>'Different homes'!AW6</f>
        <v>1711.6329824324957</v>
      </c>
      <c r="I14" s="386">
        <f t="shared" si="1"/>
        <v>66.654932267243112</v>
      </c>
      <c r="J14" s="385">
        <f>'Different homes'!CB6</f>
        <v>1711.7245903000724</v>
      </c>
      <c r="K14" s="386">
        <f t="shared" ref="K14:K25" si="2">J14-E14</f>
        <v>66.746540134819725</v>
      </c>
      <c r="L14" s="32"/>
      <c r="M14" s="382"/>
      <c r="N14" s="382"/>
      <c r="O14" s="382"/>
      <c r="P14" s="382"/>
      <c r="Q14" s="28"/>
      <c r="R14" s="29"/>
      <c r="V14" s="30"/>
      <c r="W14" s="23"/>
      <c r="X14" s="23"/>
      <c r="Y14" s="23"/>
      <c r="Z14" s="31"/>
      <c r="AA14" s="23"/>
      <c r="AB14" s="23"/>
      <c r="AC14" s="30"/>
      <c r="AD14" s="23"/>
    </row>
    <row r="15" spans="1:30" s="21" customFormat="1" ht="18" customHeight="1">
      <c r="A15" s="336"/>
      <c r="B15" s="339" t="e">
        <f>IF(#REF!,#REF!,#REF!)</f>
        <v>#REF!</v>
      </c>
      <c r="D15" s="292" t="str">
        <f>'Different homes'!C7</f>
        <v>average non-solar home</v>
      </c>
      <c r="E15" s="385">
        <f>'Different homes'!CP7</f>
        <v>1859.9520755924766</v>
      </c>
      <c r="F15" s="385">
        <f>'Different homes'!BA7</f>
        <v>1968.2910626781152</v>
      </c>
      <c r="G15" s="386">
        <f t="shared" si="0"/>
        <v>108.33898708563856</v>
      </c>
      <c r="H15" s="385">
        <f>'Different homes'!AW7</f>
        <v>1832.0417917379555</v>
      </c>
      <c r="I15" s="386">
        <f t="shared" si="1"/>
        <v>-27.91028385452114</v>
      </c>
      <c r="J15" s="385">
        <f>'Different homes'!CB7</f>
        <v>1832.238479990971</v>
      </c>
      <c r="K15" s="386">
        <f t="shared" si="2"/>
        <v>-27.713595601505631</v>
      </c>
      <c r="L15" s="32"/>
      <c r="M15" s="382"/>
      <c r="N15" s="382"/>
      <c r="O15" s="382"/>
      <c r="P15" s="382"/>
      <c r="Q15" s="28"/>
      <c r="R15" s="29"/>
      <c r="V15" s="30"/>
      <c r="W15" s="23"/>
      <c r="X15" s="23"/>
      <c r="Y15" s="23"/>
      <c r="Z15" s="31"/>
      <c r="AA15" s="23"/>
      <c r="AB15" s="23"/>
      <c r="AC15" s="30"/>
      <c r="AD15" s="23"/>
    </row>
    <row r="16" spans="1:30" s="21" customFormat="1" ht="18" customHeight="1">
      <c r="A16" s="336"/>
      <c r="B16" s="339" t="e">
        <f>IF(#REF!,#REF!,#REF!)</f>
        <v>#REF!</v>
      </c>
      <c r="D16" s="292" t="str">
        <f>'Different homes'!C8</f>
        <v>average gas home</v>
      </c>
      <c r="E16" s="385">
        <f>'Different homes'!CP8</f>
        <v>1252.9925922101215</v>
      </c>
      <c r="F16" s="385">
        <f>'Different homes'!BA8</f>
        <v>1292.9620569579142</v>
      </c>
      <c r="G16" s="386">
        <f t="shared" si="0"/>
        <v>39.969464747792699</v>
      </c>
      <c r="H16" s="385">
        <f>'Different homes'!AW8</f>
        <v>1263.9281196682193</v>
      </c>
      <c r="I16" s="386">
        <f t="shared" si="1"/>
        <v>10.935527458097795</v>
      </c>
      <c r="J16" s="385">
        <f>'Different homes'!CB8</f>
        <v>1265.7013028208382</v>
      </c>
      <c r="K16" s="386">
        <f t="shared" si="2"/>
        <v>12.708710610716707</v>
      </c>
      <c r="L16" s="32"/>
      <c r="M16" s="382"/>
      <c r="N16" s="382"/>
      <c r="O16" s="382"/>
      <c r="P16" s="382"/>
      <c r="Q16" s="28"/>
      <c r="R16" s="29"/>
      <c r="V16" s="30"/>
      <c r="W16" s="23"/>
      <c r="X16" s="23"/>
      <c r="Y16" s="23"/>
      <c r="Z16" s="31"/>
      <c r="AA16" s="23"/>
      <c r="AB16" s="23"/>
      <c r="AC16" s="30"/>
      <c r="AD16" s="23"/>
    </row>
    <row r="17" spans="1:30" s="21" customFormat="1" ht="18" customHeight="1">
      <c r="A17" s="336"/>
      <c r="B17" s="339" t="e">
        <f>IF(#REF!,#REF!,#REF!)</f>
        <v>#REF!</v>
      </c>
      <c r="D17" s="292" t="str">
        <f>'Different homes'!C9</f>
        <v>average electric home</v>
      </c>
      <c r="E17" s="385">
        <f>'Different homes'!CP9</f>
        <v>2225.6086695719973</v>
      </c>
      <c r="F17" s="385">
        <f>'Different homes'!BA9</f>
        <v>2221.3659784965339</v>
      </c>
      <c r="G17" s="386">
        <f t="shared" si="0"/>
        <v>-4.2426910754634264</v>
      </c>
      <c r="H17" s="385">
        <f>'Different homes'!AW9</f>
        <v>2221.1081940665317</v>
      </c>
      <c r="I17" s="386">
        <f t="shared" si="1"/>
        <v>-4.5004755054656016</v>
      </c>
      <c r="J17" s="385">
        <f>'Different homes'!CB9</f>
        <v>2220.6524805585768</v>
      </c>
      <c r="K17" s="386">
        <f t="shared" si="2"/>
        <v>-4.9561890134204987</v>
      </c>
      <c r="L17" s="32"/>
      <c r="M17" s="382"/>
      <c r="N17" s="382"/>
      <c r="O17" s="382"/>
      <c r="P17" s="382"/>
      <c r="Q17" s="28"/>
      <c r="R17" s="29"/>
      <c r="V17" s="30"/>
      <c r="W17" s="23"/>
      <c r="X17" s="23"/>
      <c r="Y17" s="23"/>
      <c r="Z17" s="31"/>
      <c r="AA17" s="23"/>
      <c r="AB17" s="23"/>
      <c r="AC17" s="30"/>
      <c r="AD17" s="23"/>
    </row>
    <row r="18" spans="1:30" s="21" customFormat="1" ht="18" customHeight="1">
      <c r="A18" s="336"/>
      <c r="B18" s="339" t="e">
        <f>IF(#REF!,#REF!,#REF!)</f>
        <v>#REF!</v>
      </c>
      <c r="D18" s="292" t="str">
        <f>'Different homes'!C10</f>
        <v>big gas home</v>
      </c>
      <c r="E18" s="385">
        <f>'Different homes'!CP10</f>
        <v>2351.4490020276421</v>
      </c>
      <c r="F18" s="385">
        <f>'Different homes'!BA10</f>
        <v>1690.8494519030369</v>
      </c>
      <c r="G18" s="386">
        <f t="shared" si="0"/>
        <v>-660.59955012460523</v>
      </c>
      <c r="H18" s="385">
        <f>'Different homes'!AW10</f>
        <v>2302.4221888734564</v>
      </c>
      <c r="I18" s="386">
        <f t="shared" si="1"/>
        <v>-49.026813154185675</v>
      </c>
      <c r="J18" s="385">
        <f>'Different homes'!CB10</f>
        <v>2283.665163867006</v>
      </c>
      <c r="K18" s="386">
        <f t="shared" si="2"/>
        <v>-67.783838160636151</v>
      </c>
      <c r="L18" s="32"/>
      <c r="M18" s="382"/>
      <c r="N18" s="382"/>
      <c r="O18" s="382"/>
      <c r="P18" s="382"/>
      <c r="Q18" s="28"/>
      <c r="R18" s="29"/>
      <c r="V18" s="30"/>
      <c r="W18" s="23"/>
      <c r="X18" s="23"/>
      <c r="Y18" s="23"/>
      <c r="Z18" s="31"/>
      <c r="AA18" s="23"/>
      <c r="AB18" s="23"/>
      <c r="AC18" s="30"/>
      <c r="AD18" s="23"/>
    </row>
    <row r="19" spans="1:30" s="21" customFormat="1" ht="18" customHeight="1">
      <c r="A19" s="336"/>
      <c r="B19" s="339" t="e">
        <f>IF(#REF!,#REF!,#REF!)</f>
        <v>#REF!</v>
      </c>
      <c r="D19" s="292" t="str">
        <f>'Different homes'!C11</f>
        <v>big solar home</v>
      </c>
      <c r="E19" s="385">
        <f>'Different homes'!CP11</f>
        <v>2937.2188390364313</v>
      </c>
      <c r="F19" s="385">
        <f>'Different homes'!BA11</f>
        <v>1956.1077151997852</v>
      </c>
      <c r="G19" s="386">
        <f t="shared" si="0"/>
        <v>-981.11112383664613</v>
      </c>
      <c r="H19" s="385">
        <f>'Different homes'!AW11</f>
        <v>2968.1952389031535</v>
      </c>
      <c r="I19" s="386">
        <f t="shared" si="1"/>
        <v>30.976399866722204</v>
      </c>
      <c r="J19" s="385">
        <f>'Different homes'!CB11</f>
        <v>2948.6507272567255</v>
      </c>
      <c r="K19" s="386">
        <f t="shared" si="2"/>
        <v>11.43188822029424</v>
      </c>
      <c r="L19" s="32"/>
      <c r="M19" s="382"/>
      <c r="N19" s="382"/>
      <c r="O19" s="382"/>
      <c r="P19" s="382"/>
      <c r="Q19" s="28"/>
      <c r="R19" s="29"/>
      <c r="V19" s="30"/>
      <c r="W19" s="23"/>
      <c r="X19" s="23"/>
      <c r="Y19" s="23"/>
      <c r="Z19" s="31"/>
      <c r="AA19" s="23"/>
      <c r="AB19" s="23"/>
      <c r="AC19" s="30"/>
      <c r="AD19" s="23"/>
    </row>
    <row r="20" spans="1:30" s="21" customFormat="1" ht="18" customHeight="1">
      <c r="A20" s="336"/>
      <c r="B20" s="339" t="e">
        <f>IF(#REF!,#REF!,#REF!)</f>
        <v>#REF!</v>
      </c>
      <c r="D20" s="292" t="str">
        <f>'Different homes'!C12</f>
        <v>big electric home</v>
      </c>
      <c r="E20" s="385">
        <f>'Different homes'!CP12</f>
        <v>3950.1369278768502</v>
      </c>
      <c r="F20" s="385">
        <f>'Different homes'!BA12</f>
        <v>3547.6572949802758</v>
      </c>
      <c r="G20" s="386">
        <f t="shared" si="0"/>
        <v>-402.47963289657446</v>
      </c>
      <c r="H20" s="385">
        <f>'Different homes'!AW12</f>
        <v>3992.6462782543772</v>
      </c>
      <c r="I20" s="386">
        <f t="shared" si="1"/>
        <v>42.509350377526971</v>
      </c>
      <c r="J20" s="385">
        <f>'Different homes'!CB12</f>
        <v>3987.0155594737212</v>
      </c>
      <c r="K20" s="386">
        <f t="shared" si="2"/>
        <v>36.878631596870946</v>
      </c>
      <c r="L20" s="32"/>
      <c r="M20" s="382"/>
      <c r="N20" s="382"/>
      <c r="O20" s="382"/>
      <c r="P20" s="382"/>
      <c r="Q20" s="28"/>
      <c r="R20" s="29"/>
      <c r="V20" s="30"/>
      <c r="W20" s="23"/>
      <c r="X20" s="23"/>
      <c r="Y20" s="23"/>
      <c r="Z20" s="31"/>
      <c r="AA20" s="23"/>
      <c r="AB20" s="23"/>
      <c r="AC20" s="30"/>
      <c r="AD20" s="23"/>
    </row>
    <row r="21" spans="1:30" ht="32.450000000000003" customHeight="1">
      <c r="B21" s="339" t="e">
        <f>IF(#REF!,#REF!,#REF!)</f>
        <v>#REF!</v>
      </c>
      <c r="D21" s="292" t="str">
        <f>'Different homes'!C13</f>
        <v>Efficient Electrify Everything home (based on big home, EV, with solar, no battery)</v>
      </c>
      <c r="E21" s="385">
        <f>'Different homes'!CP13</f>
        <v>4098.3114470159726</v>
      </c>
      <c r="F21" s="385">
        <f>'Different homes'!BA13</f>
        <v>4078.1738215737732</v>
      </c>
      <c r="G21" s="386">
        <f t="shared" si="0"/>
        <v>-20.137625442199351</v>
      </c>
      <c r="H21" s="385">
        <f>'Different homes'!AW13</f>
        <v>4443.8501273333341</v>
      </c>
      <c r="I21" s="386">
        <f t="shared" si="1"/>
        <v>345.53868031736147</v>
      </c>
      <c r="J21" s="385">
        <f>'Different homes'!CB13</f>
        <v>4471.0740511289905</v>
      </c>
      <c r="K21" s="386">
        <f t="shared" si="2"/>
        <v>372.76260411301791</v>
      </c>
      <c r="L21" s="32"/>
      <c r="M21" s="382"/>
      <c r="N21" s="382"/>
      <c r="O21" s="382"/>
      <c r="P21" s="382"/>
      <c r="Q21" s="28"/>
      <c r="R21" s="29"/>
      <c r="U21" s="21"/>
      <c r="V21" s="30"/>
      <c r="W21" s="23"/>
      <c r="X21" s="23"/>
      <c r="Y21" s="23"/>
      <c r="Z21" s="31"/>
      <c r="AA21" s="23"/>
      <c r="AB21" s="23"/>
      <c r="AC21" s="30"/>
      <c r="AD21" s="23"/>
    </row>
    <row r="22" spans="1:30" ht="32.450000000000003" customHeight="1">
      <c r="B22" s="339" t="e">
        <f>IF(#REF!,#REF!,#REF!)</f>
        <v>#REF!</v>
      </c>
      <c r="D22" s="292" t="str">
        <f>'Different homes'!C14</f>
        <v>Efficient Electrify Everything home with battery and load flex (reduced grid impact)</v>
      </c>
      <c r="E22" s="385">
        <f>'Different homes'!CP14</f>
        <v>2103.7919580010325</v>
      </c>
      <c r="F22" s="385">
        <f>'Different homes'!BA14</f>
        <v>2486.6242417932826</v>
      </c>
      <c r="G22" s="386">
        <f t="shared" si="0"/>
        <v>382.83228379225011</v>
      </c>
      <c r="H22" s="385">
        <f>'Different homes'!AW14</f>
        <v>2285.5369163214559</v>
      </c>
      <c r="I22" s="386">
        <f t="shared" si="1"/>
        <v>181.74495832042339</v>
      </c>
      <c r="J22" s="385">
        <f>'Different homes'!CB14</f>
        <v>2308.6882637387171</v>
      </c>
      <c r="K22" s="386">
        <f t="shared" si="2"/>
        <v>204.89630573768454</v>
      </c>
      <c r="L22" s="32"/>
      <c r="M22" s="382"/>
      <c r="N22" s="382"/>
      <c r="O22" s="382"/>
      <c r="P22" s="382"/>
      <c r="Q22" s="28"/>
      <c r="R22" s="29"/>
      <c r="U22" s="21"/>
      <c r="V22" s="30"/>
      <c r="W22" s="23"/>
      <c r="X22" s="23"/>
      <c r="Y22" s="23"/>
      <c r="Z22" s="31"/>
      <c r="AA22" s="23"/>
      <c r="AB22" s="23"/>
      <c r="AC22" s="30"/>
      <c r="AD22" s="23"/>
    </row>
    <row r="23" spans="1:30" ht="22.5" customHeight="1">
      <c r="B23" s="339" t="e">
        <f>IF(#REF!,#REF!,#REF!)</f>
        <v>#REF!</v>
      </c>
      <c r="D23" s="292" t="str">
        <f>'Different homes'!C15</f>
        <v>My original reference household (your tariffs)</v>
      </c>
      <c r="E23" s="385">
        <f>'Different homes'!CP15</f>
        <v>1784.1421211554439</v>
      </c>
      <c r="F23" s="385">
        <f>'Different homes'!BA15</f>
        <v>1784.1421211554434</v>
      </c>
      <c r="G23" s="386">
        <f t="shared" si="0"/>
        <v>0</v>
      </c>
      <c r="H23" s="385">
        <f>'Different homes'!AW15</f>
        <v>1784.1421211554443</v>
      </c>
      <c r="I23" s="386">
        <f t="shared" si="1"/>
        <v>0</v>
      </c>
      <c r="J23" s="385">
        <f>'Different homes'!CB15</f>
        <v>1784.1421211554439</v>
      </c>
      <c r="K23" s="386">
        <f t="shared" si="2"/>
        <v>0</v>
      </c>
      <c r="L23" s="32"/>
      <c r="M23" s="382"/>
      <c r="N23" s="382"/>
      <c r="O23" s="382"/>
      <c r="P23" s="382"/>
      <c r="Q23" s="28"/>
      <c r="R23" s="29"/>
      <c r="U23" s="21"/>
      <c r="V23" s="30"/>
      <c r="W23" s="23"/>
      <c r="X23" s="23"/>
      <c r="Y23" s="23"/>
      <c r="Z23" s="31"/>
      <c r="AA23" s="23"/>
      <c r="AB23" s="23"/>
      <c r="AC23" s="30"/>
      <c r="AD23" s="23"/>
    </row>
    <row r="24" spans="1:30" ht="22.5" customHeight="1">
      <c r="B24" s="339" t="e">
        <f>IF(#REF!,#REF!,#REF!)</f>
        <v>#REF!</v>
      </c>
      <c r="D24" s="292" t="str">
        <f>'Different homes'!C16</f>
        <v>Your household type 1</v>
      </c>
      <c r="E24" s="385">
        <f>'Different homes'!CP16</f>
        <v>364.55813541929433</v>
      </c>
      <c r="F24" s="385">
        <f>'Different homes'!BA16</f>
        <v>364.55813541929433</v>
      </c>
      <c r="G24" s="386">
        <f t="shared" si="0"/>
        <v>0</v>
      </c>
      <c r="H24" s="385">
        <f>'Different homes'!AW16</f>
        <v>364.55813541929433</v>
      </c>
      <c r="I24" s="386">
        <f t="shared" si="1"/>
        <v>0</v>
      </c>
      <c r="J24" s="385">
        <f>'Different homes'!CB16</f>
        <v>364.55813541929433</v>
      </c>
      <c r="K24" s="386">
        <f t="shared" si="2"/>
        <v>0</v>
      </c>
    </row>
    <row r="25" spans="1:30" ht="22.5" customHeight="1">
      <c r="B25" s="339" t="e">
        <f>IF(#REF!,#REF!,#REF!)</f>
        <v>#REF!</v>
      </c>
      <c r="D25" s="292" t="str">
        <f>'Different homes'!C17</f>
        <v>Your household type 2</v>
      </c>
      <c r="E25" s="385">
        <f>'Different homes'!CP17</f>
        <v>364.55813541929433</v>
      </c>
      <c r="F25" s="385">
        <f>'Different homes'!BA17</f>
        <v>364.55813541929433</v>
      </c>
      <c r="G25" s="386">
        <f t="shared" si="0"/>
        <v>0</v>
      </c>
      <c r="H25" s="385">
        <f>'Different homes'!AW17</f>
        <v>364.55813541929433</v>
      </c>
      <c r="I25" s="386">
        <f t="shared" si="1"/>
        <v>0</v>
      </c>
      <c r="J25" s="385">
        <f>'Different homes'!CB17</f>
        <v>364.55813541929433</v>
      </c>
      <c r="K25" s="386">
        <f t="shared" si="2"/>
        <v>0</v>
      </c>
    </row>
    <row r="26" spans="1:30" ht="18" customHeight="1">
      <c r="B26" s="339" t="e">
        <f>IF(#REF!,#REF!,#REF!)</f>
        <v>#REF!</v>
      </c>
      <c r="D26" s="292"/>
    </row>
    <row r="27" spans="1:30" ht="18" customHeight="1">
      <c r="B27" s="339" t="e">
        <f>IF(#REF!,#REF!,#REF!)</f>
        <v>#REF!</v>
      </c>
      <c r="D27" s="292"/>
    </row>
    <row r="28" spans="1:30" ht="18" customHeight="1">
      <c r="B28" s="339" t="e">
        <f>IF(#REF!,#REF!,#REF!)</f>
        <v>#REF!</v>
      </c>
      <c r="D28" s="292"/>
    </row>
    <row r="29" spans="1:30" ht="25.5" customHeight="1">
      <c r="B29" s="339" t="e">
        <f>IF(#REF!,#REF!,#REF!)</f>
        <v>#REF!</v>
      </c>
      <c r="D29" s="292"/>
    </row>
    <row r="30" spans="1:30" ht="18" customHeight="1">
      <c r="B30" s="339" t="e">
        <f>IF(#REF!,#REF!,#REF!)</f>
        <v>#REF!</v>
      </c>
    </row>
  </sheetData>
  <conditionalFormatting sqref="G13:G25">
    <cfRule type="iconSet" priority="3">
      <iconSet iconSet="3Arrows">
        <cfvo type="percent" val="0"/>
        <cfvo type="percent" val="33"/>
        <cfvo type="percent" val="67"/>
      </iconSet>
    </cfRule>
  </conditionalFormatting>
  <conditionalFormatting sqref="I13:I25">
    <cfRule type="iconSet" priority="2">
      <iconSet iconSet="3Arrows">
        <cfvo type="percent" val="0"/>
        <cfvo type="percent" val="33"/>
        <cfvo type="percent" val="67"/>
      </iconSet>
    </cfRule>
  </conditionalFormatting>
  <conditionalFormatting sqref="K13:K25">
    <cfRule type="iconSet" priority="1">
      <iconSet iconSet="3Arrows">
        <cfvo type="percent" val="0"/>
        <cfvo type="percent" val="33"/>
        <cfvo type="percent" val="67"/>
      </iconSet>
    </cfRule>
  </conditionalFormatting>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1454F0-E134-4A5D-8FF4-33CE3661964D}">
  <dimension ref="A1:BE209"/>
  <sheetViews>
    <sheetView workbookViewId="0">
      <pane xSplit="1" ySplit="2" topLeftCell="X6" activePane="bottomRight" state="frozen"/>
      <selection pane="bottomRight" activeCell="AC2" sqref="AC2"/>
      <selection pane="bottomLeft" activeCell="A3" sqref="A3"/>
      <selection pane="topRight" activeCell="B1" sqref="B1"/>
    </sheetView>
  </sheetViews>
  <sheetFormatPr defaultColWidth="15" defaultRowHeight="14.45"/>
  <cols>
    <col min="1" max="1" width="21.42578125" customWidth="1"/>
    <col min="2" max="2" width="13.42578125" customWidth="1"/>
    <col min="3" max="3" width="19.140625" customWidth="1"/>
    <col min="4" max="18" width="13.42578125" customWidth="1"/>
    <col min="19" max="19" width="19.5703125" customWidth="1"/>
    <col min="20" max="25" width="13.42578125" customWidth="1"/>
    <col min="35" max="35" width="10.5703125" customWidth="1"/>
  </cols>
  <sheetData>
    <row r="1" spans="1:46">
      <c r="A1" s="112"/>
      <c r="B1" s="112" t="s">
        <v>380</v>
      </c>
      <c r="C1" s="112" t="s">
        <v>381</v>
      </c>
      <c r="D1" s="112" t="s">
        <v>382</v>
      </c>
      <c r="E1" s="112" t="s">
        <v>383</v>
      </c>
      <c r="F1" s="112" t="s">
        <v>384</v>
      </c>
      <c r="G1" t="s">
        <v>385</v>
      </c>
      <c r="I1" t="s">
        <v>386</v>
      </c>
      <c r="J1" t="s">
        <v>387</v>
      </c>
      <c r="K1" t="s">
        <v>388</v>
      </c>
      <c r="L1" t="s">
        <v>389</v>
      </c>
      <c r="M1" t="s">
        <v>390</v>
      </c>
      <c r="N1" t="s">
        <v>391</v>
      </c>
      <c r="O1" s="112" t="s">
        <v>392</v>
      </c>
      <c r="P1" s="112" t="s">
        <v>393</v>
      </c>
      <c r="U1" s="112" t="s">
        <v>394</v>
      </c>
      <c r="X1" s="112" t="s">
        <v>395</v>
      </c>
      <c r="Y1" s="112" t="s">
        <v>396</v>
      </c>
      <c r="AA1" t="s">
        <v>397</v>
      </c>
      <c r="AB1" t="s">
        <v>398</v>
      </c>
      <c r="AC1" t="s">
        <v>234</v>
      </c>
      <c r="AD1" s="112" t="s">
        <v>399</v>
      </c>
      <c r="AE1" s="145" t="s">
        <v>400</v>
      </c>
      <c r="AF1" t="s">
        <v>401</v>
      </c>
      <c r="AG1" s="112" t="s">
        <v>402</v>
      </c>
      <c r="AH1" s="112" t="s">
        <v>403</v>
      </c>
      <c r="AI1" s="112" t="s">
        <v>404</v>
      </c>
      <c r="AJ1" s="17"/>
      <c r="AK1" s="17"/>
    </row>
    <row r="2" spans="1:46">
      <c r="A2" s="112" t="s">
        <v>405</v>
      </c>
      <c r="B2" s="112" t="s">
        <v>142</v>
      </c>
      <c r="C2" s="112" t="s">
        <v>406</v>
      </c>
      <c r="D2" s="112" t="s">
        <v>142</v>
      </c>
      <c r="E2" s="112"/>
      <c r="F2" s="112"/>
      <c r="G2" s="112" t="s">
        <v>407</v>
      </c>
      <c r="H2" s="112" t="s">
        <v>408</v>
      </c>
      <c r="I2" s="112" t="s">
        <v>148</v>
      </c>
      <c r="J2" s="112" t="s">
        <v>409</v>
      </c>
      <c r="K2" s="112" t="s">
        <v>142</v>
      </c>
      <c r="L2" s="112" t="s">
        <v>410</v>
      </c>
      <c r="M2" s="112" t="s">
        <v>411</v>
      </c>
      <c r="N2" s="112" t="s">
        <v>412</v>
      </c>
      <c r="O2" s="112" t="s">
        <v>413</v>
      </c>
      <c r="P2" s="112" t="s">
        <v>414</v>
      </c>
      <c r="Q2" s="112" t="s">
        <v>415</v>
      </c>
      <c r="R2" s="113" t="s">
        <v>416</v>
      </c>
      <c r="S2" s="112" t="s">
        <v>417</v>
      </c>
      <c r="T2" s="112" t="s">
        <v>418</v>
      </c>
      <c r="U2" s="112" t="s">
        <v>294</v>
      </c>
      <c r="V2" s="112" t="s">
        <v>419</v>
      </c>
      <c r="W2" s="112" t="s">
        <v>195</v>
      </c>
      <c r="X2" s="143" t="s">
        <v>244</v>
      </c>
      <c r="Y2" s="112" t="s">
        <v>132</v>
      </c>
      <c r="Z2" s="112" t="s">
        <v>420</v>
      </c>
      <c r="AA2" s="112" t="s">
        <v>366</v>
      </c>
      <c r="AB2" s="112" t="s">
        <v>366</v>
      </c>
      <c r="AC2" s="112" t="s">
        <v>421</v>
      </c>
      <c r="AD2" s="143" t="s">
        <v>412</v>
      </c>
      <c r="AE2" s="146" t="s">
        <v>407</v>
      </c>
      <c r="AF2" s="112" t="s">
        <v>412</v>
      </c>
      <c r="AG2" t="s">
        <v>422</v>
      </c>
      <c r="AH2" s="112" t="s">
        <v>251</v>
      </c>
      <c r="AI2" s="112" t="s">
        <v>423</v>
      </c>
      <c r="AJ2" s="112" t="s">
        <v>424</v>
      </c>
      <c r="AL2" s="17"/>
      <c r="AM2" s="17"/>
      <c r="AN2" s="17"/>
      <c r="AO2" s="17"/>
      <c r="AP2" s="17"/>
      <c r="AQ2" s="17"/>
      <c r="AR2" s="17"/>
      <c r="AS2" s="149"/>
      <c r="AT2" s="17"/>
    </row>
    <row r="3" spans="1:46">
      <c r="A3" t="s">
        <v>425</v>
      </c>
      <c r="B3" s="114">
        <v>8331</v>
      </c>
      <c r="C3" s="114">
        <v>1171</v>
      </c>
      <c r="D3" s="114">
        <v>24431</v>
      </c>
      <c r="E3" s="114">
        <v>1615002</v>
      </c>
      <c r="F3" s="114">
        <v>1801396</v>
      </c>
      <c r="G3" s="114">
        <v>5743</v>
      </c>
      <c r="H3" s="114">
        <v>5158.5075436439092</v>
      </c>
      <c r="I3" s="115">
        <v>1.8906295893093295</v>
      </c>
      <c r="J3" s="116">
        <v>3053.3705679937457</v>
      </c>
      <c r="K3" s="115">
        <v>1379.8068747623176</v>
      </c>
      <c r="L3" s="117">
        <v>0.84866949238944311</v>
      </c>
      <c r="M3" s="116">
        <v>5287.7995660453162</v>
      </c>
      <c r="N3" s="117">
        <v>0.39100000000000001</v>
      </c>
      <c r="O3" s="118">
        <v>1043.5879330034593</v>
      </c>
      <c r="P3" s="118">
        <v>741.11116464910901</v>
      </c>
      <c r="Q3" s="118">
        <v>212.20573294606004</v>
      </c>
      <c r="R3" s="118">
        <v>90.271035408290274</v>
      </c>
      <c r="S3" s="118">
        <v>0</v>
      </c>
      <c r="T3" s="118">
        <v>-0.44689985129250004</v>
      </c>
      <c r="U3" s="118">
        <v>1166.3400000000001</v>
      </c>
      <c r="V3" s="118">
        <v>99.972000000000008</v>
      </c>
      <c r="W3" s="118">
        <v>458.20499999999998</v>
      </c>
      <c r="X3" s="118">
        <f>W3+V3+U3+O3</f>
        <v>2768.1049330034593</v>
      </c>
      <c r="Y3" s="118">
        <v>332.26562633578914</v>
      </c>
      <c r="Z3" s="124">
        <f>Y3*H3/1000</f>
        <v>1713.9947399467367</v>
      </c>
      <c r="AA3" s="114">
        <f>C3/E3*1000000</f>
        <v>725.07650145324897</v>
      </c>
      <c r="AB3" s="114">
        <f>(K3-C3)/E3*1000000</f>
        <v>129.29202240140734</v>
      </c>
      <c r="AC3" s="116">
        <f>AC19</f>
        <v>681.61434977578472</v>
      </c>
      <c r="AD3" s="144">
        <f>AD19</f>
        <v>0.24777440276517482</v>
      </c>
      <c r="AE3" s="147">
        <v>5154</v>
      </c>
      <c r="AF3" s="144">
        <f>J3/AE3</f>
        <v>0.59242735118233325</v>
      </c>
      <c r="AG3">
        <v>105</v>
      </c>
      <c r="AH3" s="119">
        <f>AG3*$AH$33</f>
        <v>107.62499999999999</v>
      </c>
      <c r="AI3" s="119">
        <f>AH3*J3/1000</f>
        <v>328.61900738032688</v>
      </c>
      <c r="AJ3" t="s">
        <v>426</v>
      </c>
    </row>
    <row r="4" spans="1:46">
      <c r="A4" t="s">
        <v>427</v>
      </c>
      <c r="B4" s="114">
        <v>3426.2445032300002</v>
      </c>
      <c r="C4" s="114">
        <v>813.64414843699706</v>
      </c>
      <c r="D4" s="114">
        <v>7599.3339384698602</v>
      </c>
      <c r="E4" s="114">
        <v>737264</v>
      </c>
      <c r="F4" s="114">
        <v>823454.5</v>
      </c>
      <c r="G4" s="114">
        <v>1960.0436259999899</v>
      </c>
      <c r="H4" s="114">
        <v>4647.2423761773262</v>
      </c>
      <c r="I4" s="115">
        <v>1.3899554272281582</v>
      </c>
      <c r="J4" s="116">
        <v>1024.7640980999408</v>
      </c>
      <c r="K4" s="115">
        <v>1266.6491399126267</v>
      </c>
      <c r="L4" s="117">
        <v>0.64235953177461769</v>
      </c>
      <c r="M4" s="116">
        <v>5261.6830534321898</v>
      </c>
      <c r="N4" s="117">
        <v>0.61599999999999999</v>
      </c>
      <c r="O4" s="118">
        <v>567.79251918518207</v>
      </c>
      <c r="P4" s="118">
        <v>491.3592892169583</v>
      </c>
      <c r="Q4" s="118">
        <v>66.016070732407286</v>
      </c>
      <c r="R4" s="118">
        <v>10.417159235816479</v>
      </c>
      <c r="S4" s="118">
        <v>0</v>
      </c>
      <c r="T4" s="118">
        <v>0</v>
      </c>
      <c r="U4" s="118">
        <v>308.36200529069998</v>
      </c>
      <c r="V4" s="118">
        <v>85.656112580750005</v>
      </c>
      <c r="W4" s="118">
        <v>205.57467019380002</v>
      </c>
      <c r="X4" s="118">
        <f t="shared" ref="X4:X29" si="0">W4+V4+U4+O4</f>
        <v>1167.3853072504321</v>
      </c>
      <c r="Y4" s="118">
        <v>340.71862243045143</v>
      </c>
      <c r="Z4" s="124">
        <f t="shared" ref="Z4:Z28" si="1">Y4*H4/1000</f>
        <v>1583.4020205115564</v>
      </c>
      <c r="AA4" s="114">
        <f t="shared" ref="AA4:AA28" si="2">C4/E4*1000000</f>
        <v>1103.5994547909527</v>
      </c>
      <c r="AB4" s="114">
        <f t="shared" ref="AB4:AB29" si="3">(K4-C4)/E4*1000000</f>
        <v>614.44067725486332</v>
      </c>
      <c r="AC4" s="116">
        <f>AC20</f>
        <v>793.06487695749445</v>
      </c>
      <c r="AD4" s="144">
        <f>AD20</f>
        <v>0.25226754385021311</v>
      </c>
      <c r="AE4" s="147">
        <v>1710.4435900000001</v>
      </c>
      <c r="AF4" s="144">
        <f t="shared" ref="AF4:AF28" si="4">J4/AE4</f>
        <v>0.59912183254166296</v>
      </c>
      <c r="AG4">
        <v>62.57</v>
      </c>
      <c r="AH4" s="119">
        <f t="shared" ref="AH4:AH16" si="5">AG4*$AH$33</f>
        <v>64.134249999999994</v>
      </c>
      <c r="AI4" s="119">
        <f t="shared" ref="AI4:AI18" si="6">AH4*J4/1000</f>
        <v>65.722476858566125</v>
      </c>
      <c r="AJ4" t="s">
        <v>428</v>
      </c>
    </row>
    <row r="5" spans="1:46">
      <c r="A5" t="s">
        <v>429</v>
      </c>
      <c r="B5" s="114">
        <v>1217.76</v>
      </c>
      <c r="C5" s="114">
        <v>73.960000000000008</v>
      </c>
      <c r="D5" s="114">
        <v>5458.67</v>
      </c>
      <c r="E5" s="114">
        <v>289645</v>
      </c>
      <c r="F5" s="114">
        <v>350648</v>
      </c>
      <c r="G5" s="114">
        <v>1605</v>
      </c>
      <c r="H5" s="114">
        <v>4204.3190802534136</v>
      </c>
      <c r="I5" s="115">
        <v>1.3899554272281582</v>
      </c>
      <c r="J5" s="116">
        <v>402.59363971949989</v>
      </c>
      <c r="K5" s="115">
        <v>115.13801281297104</v>
      </c>
      <c r="L5" s="117">
        <v>0.64235953177461769</v>
      </c>
      <c r="M5" s="116">
        <v>4346.4862601217737</v>
      </c>
      <c r="N5" s="117">
        <v>0.61599999999999999</v>
      </c>
      <c r="O5" s="118">
        <v>133.82693503382026</v>
      </c>
      <c r="P5" s="118">
        <v>115.91558609983102</v>
      </c>
      <c r="Q5" s="118">
        <v>17.008362271903792</v>
      </c>
      <c r="R5" s="118">
        <v>0.90298666208545686</v>
      </c>
      <c r="S5" s="118">
        <v>0</v>
      </c>
      <c r="T5" s="118">
        <v>0</v>
      </c>
      <c r="U5" s="118">
        <v>109.5984</v>
      </c>
      <c r="V5" s="118">
        <v>30.444000000000003</v>
      </c>
      <c r="W5" s="118">
        <v>73.065600000000003</v>
      </c>
      <c r="X5" s="118">
        <f t="shared" si="0"/>
        <v>346.93493503382024</v>
      </c>
      <c r="Y5" s="118">
        <v>284.89598527938205</v>
      </c>
      <c r="Z5" s="124">
        <f t="shared" si="1"/>
        <v>1197.7936267977018</v>
      </c>
      <c r="AA5" s="114">
        <f t="shared" si="2"/>
        <v>255.34706278375253</v>
      </c>
      <c r="AB5" s="114">
        <f t="shared" si="3"/>
        <v>142.16717986835965</v>
      </c>
      <c r="AC5" s="116">
        <f>AC20</f>
        <v>793.06487695749445</v>
      </c>
      <c r="AD5" s="144">
        <f>AD20</f>
        <v>0.25226754385021311</v>
      </c>
      <c r="AE5" s="147">
        <v>1339</v>
      </c>
      <c r="AF5" s="144">
        <f t="shared" si="4"/>
        <v>0.30066739336781173</v>
      </c>
      <c r="AG5">
        <v>60</v>
      </c>
      <c r="AH5" s="119">
        <f t="shared" si="5"/>
        <v>61.499999999999993</v>
      </c>
      <c r="AI5" s="119">
        <f t="shared" si="6"/>
        <v>24.759508842749241</v>
      </c>
      <c r="AJ5" t="s">
        <v>428</v>
      </c>
    </row>
    <row r="6" spans="1:46">
      <c r="A6" t="s">
        <v>430</v>
      </c>
      <c r="B6" s="114">
        <v>6093.9760056579398</v>
      </c>
      <c r="C6" s="114">
        <v>2356.20706156498</v>
      </c>
      <c r="D6" s="114">
        <v>18305.717443769001</v>
      </c>
      <c r="E6" s="114">
        <v>1014469</v>
      </c>
      <c r="F6" s="114">
        <v>1112797</v>
      </c>
      <c r="G6" s="114">
        <v>4253.04</v>
      </c>
      <c r="H6" s="114">
        <v>6007.0598565928967</v>
      </c>
      <c r="I6" s="115">
        <v>1.8906295893093295</v>
      </c>
      <c r="J6" s="116">
        <v>1917.9851088370463</v>
      </c>
      <c r="K6" s="115">
        <v>2776.354143391015</v>
      </c>
      <c r="L6" s="117">
        <v>0.84866949238944311</v>
      </c>
      <c r="M6" s="116">
        <v>6421.2145343859447</v>
      </c>
      <c r="N6" s="117">
        <v>0.39100000000000001</v>
      </c>
      <c r="O6" s="118">
        <v>731.69952737754943</v>
      </c>
      <c r="P6" s="118">
        <v>568.76847737259072</v>
      </c>
      <c r="Q6" s="118">
        <v>80.1020363172657</v>
      </c>
      <c r="R6" s="118">
        <v>82.829013687692978</v>
      </c>
      <c r="S6" s="118">
        <v>12.704409315451249</v>
      </c>
      <c r="T6" s="118">
        <v>-0.77097070626101116</v>
      </c>
      <c r="U6" s="118">
        <v>853.1566407921116</v>
      </c>
      <c r="V6" s="118">
        <v>73.127712067895274</v>
      </c>
      <c r="W6" s="118">
        <v>335.16868031118668</v>
      </c>
      <c r="X6" s="118">
        <f t="shared" si="0"/>
        <v>1993.1525605487429</v>
      </c>
      <c r="Y6" s="118">
        <v>327.06931545155487</v>
      </c>
      <c r="Z6" s="124">
        <f t="shared" si="1"/>
        <v>1964.7249551723542</v>
      </c>
      <c r="AA6" s="114">
        <f t="shared" si="2"/>
        <v>2322.6013427369198</v>
      </c>
      <c r="AB6" s="114">
        <f t="shared" si="3"/>
        <v>414.15467779304743</v>
      </c>
      <c r="AC6" s="116">
        <f>AC19</f>
        <v>681.61434977578472</v>
      </c>
      <c r="AD6" s="144">
        <f>AD19</f>
        <v>0.24777440276517482</v>
      </c>
      <c r="AE6" s="147">
        <v>3916.9</v>
      </c>
      <c r="AF6" s="144">
        <f t="shared" si="4"/>
        <v>0.48966915388114229</v>
      </c>
      <c r="AG6">
        <v>110</v>
      </c>
      <c r="AH6" s="119">
        <f t="shared" si="5"/>
        <v>112.74999999999999</v>
      </c>
      <c r="AI6" s="119">
        <f t="shared" si="6"/>
        <v>216.25282102137695</v>
      </c>
      <c r="AJ6" t="s">
        <v>426</v>
      </c>
    </row>
    <row r="7" spans="1:46">
      <c r="A7" t="s">
        <v>431</v>
      </c>
      <c r="B7" s="114">
        <v>8709.41</v>
      </c>
      <c r="C7" s="114">
        <v>2873.8938731132898</v>
      </c>
      <c r="D7" s="114">
        <v>22364.26</v>
      </c>
      <c r="E7" s="114">
        <v>1455890</v>
      </c>
      <c r="F7" s="114">
        <v>1618370</v>
      </c>
      <c r="G7" s="114">
        <v>5604</v>
      </c>
      <c r="H7" s="114">
        <v>5982.1895884991309</v>
      </c>
      <c r="I7" s="115">
        <v>1.7460705433764347</v>
      </c>
      <c r="J7" s="116">
        <v>2542.0866433963174</v>
      </c>
      <c r="K7" s="115">
        <v>5118.0600272800057</v>
      </c>
      <c r="L7" s="117">
        <v>0.56152015759780405</v>
      </c>
      <c r="M7" s="116">
        <v>7523.6289514775945</v>
      </c>
      <c r="N7" s="117">
        <v>0.22700000000000001</v>
      </c>
      <c r="O7" s="118">
        <v>1008.196968241049</v>
      </c>
      <c r="P7" s="118">
        <v>804.57920444285105</v>
      </c>
      <c r="Q7" s="118">
        <v>158.21181399747817</v>
      </c>
      <c r="R7" s="118">
        <v>45.405949800719824</v>
      </c>
      <c r="S7" s="118">
        <v>27.729534802229651</v>
      </c>
      <c r="T7" s="118"/>
      <c r="U7" s="118">
        <v>1088.67625</v>
      </c>
      <c r="V7" s="118">
        <v>87.094099999999997</v>
      </c>
      <c r="W7" s="118">
        <v>479.01754999999997</v>
      </c>
      <c r="X7" s="118">
        <f t="shared" si="0"/>
        <v>2662.9848682410488</v>
      </c>
      <c r="Y7" s="118">
        <v>305.75950245091792</v>
      </c>
      <c r="Z7" s="124">
        <f t="shared" si="1"/>
        <v>1829.1113121465555</v>
      </c>
      <c r="AA7" s="114">
        <f t="shared" si="2"/>
        <v>1973.9773424594509</v>
      </c>
      <c r="AB7" s="114">
        <f t="shared" si="3"/>
        <v>1541.4393629784638</v>
      </c>
      <c r="AC7" s="116">
        <f>AC21</f>
        <v>746.57534246575347</v>
      </c>
      <c r="AD7" s="144">
        <f>AD21</f>
        <v>0.4366691900066253</v>
      </c>
      <c r="AE7" s="147">
        <v>5651</v>
      </c>
      <c r="AF7" s="144">
        <f t="shared" si="4"/>
        <v>0.4498472205620806</v>
      </c>
      <c r="AG7">
        <v>130</v>
      </c>
      <c r="AH7" s="119">
        <f t="shared" si="5"/>
        <v>133.25</v>
      </c>
      <c r="AI7" s="119">
        <f t="shared" si="6"/>
        <v>338.73304523255933</v>
      </c>
      <c r="AJ7" t="s">
        <v>432</v>
      </c>
    </row>
    <row r="8" spans="1:46">
      <c r="A8" t="s">
        <v>433</v>
      </c>
      <c r="B8" s="114">
        <v>4338.17</v>
      </c>
      <c r="C8" s="114">
        <v>1092.123</v>
      </c>
      <c r="D8" s="114">
        <v>13926.4</v>
      </c>
      <c r="E8" s="114">
        <v>671567</v>
      </c>
      <c r="F8" s="114">
        <v>792127</v>
      </c>
      <c r="G8" s="114">
        <v>2565</v>
      </c>
      <c r="H8" s="114">
        <v>6459.7724426602263</v>
      </c>
      <c r="I8" s="115">
        <v>1.7460705433764347</v>
      </c>
      <c r="J8" s="116">
        <v>1172.603356603682</v>
      </c>
      <c r="K8" s="115">
        <v>1944.9399727199948</v>
      </c>
      <c r="L8" s="117">
        <v>0.56152015759780394</v>
      </c>
      <c r="M8" s="116">
        <v>7729.663567030535</v>
      </c>
      <c r="N8" s="117">
        <v>0.22700000000000001</v>
      </c>
      <c r="O8" s="118">
        <v>832.24</v>
      </c>
      <c r="P8" s="118">
        <v>708.32</v>
      </c>
      <c r="Q8" s="118">
        <v>81.39</v>
      </c>
      <c r="R8" s="118">
        <v>42.53</v>
      </c>
      <c r="S8" s="118">
        <v>0</v>
      </c>
      <c r="T8" s="118">
        <v>0</v>
      </c>
      <c r="U8" s="118">
        <v>542.27125000000001</v>
      </c>
      <c r="V8" s="118">
        <v>43.381700000000002</v>
      </c>
      <c r="W8" s="118">
        <v>238.59935000000002</v>
      </c>
      <c r="X8" s="118">
        <f t="shared" si="0"/>
        <v>1656.4923000000001</v>
      </c>
      <c r="Y8" s="118">
        <v>381.84126025490013</v>
      </c>
      <c r="Z8" s="124">
        <f t="shared" si="1"/>
        <v>2466.6076504652556</v>
      </c>
      <c r="AA8" s="114">
        <f t="shared" si="2"/>
        <v>1626.2308898442002</v>
      </c>
      <c r="AB8" s="114">
        <f t="shared" si="3"/>
        <v>1269.891124370308</v>
      </c>
      <c r="AC8" s="116">
        <f>AC21</f>
        <v>746.57534246575347</v>
      </c>
      <c r="AD8" s="144">
        <f>AD21</f>
        <v>0.4366691900066253</v>
      </c>
      <c r="AE8" s="147">
        <v>2515</v>
      </c>
      <c r="AF8" s="144">
        <f t="shared" si="4"/>
        <v>0.46624387936528111</v>
      </c>
      <c r="AG8">
        <v>220</v>
      </c>
      <c r="AH8" s="119">
        <f t="shared" si="5"/>
        <v>225.49999999999997</v>
      </c>
      <c r="AI8" s="119">
        <f t="shared" si="6"/>
        <v>264.42205691413022</v>
      </c>
      <c r="AJ8" t="s">
        <v>432</v>
      </c>
    </row>
    <row r="9" spans="1:46">
      <c r="A9" t="s">
        <v>434</v>
      </c>
      <c r="B9" s="114">
        <v>4583.1819999999898</v>
      </c>
      <c r="C9" s="114">
        <v>1422.819</v>
      </c>
      <c r="D9" s="114">
        <v>12697.544</v>
      </c>
      <c r="E9" s="114">
        <v>792204</v>
      </c>
      <c r="F9" s="114">
        <v>956776</v>
      </c>
      <c r="G9" s="114">
        <v>2817</v>
      </c>
      <c r="H9" s="114">
        <v>5785.3557921949268</v>
      </c>
      <c r="I9" s="115">
        <v>1.8906295893093295</v>
      </c>
      <c r="J9" s="116">
        <v>1497.7643231692082</v>
      </c>
      <c r="K9" s="115">
        <v>1676.5289818466661</v>
      </c>
      <c r="L9" s="117">
        <v>0.84866949238944311</v>
      </c>
      <c r="M9" s="116">
        <v>6105.6141875661524</v>
      </c>
      <c r="N9" s="117">
        <v>0.39100000000000001</v>
      </c>
      <c r="O9" s="118">
        <v>798.34270457973844</v>
      </c>
      <c r="P9" s="118">
        <v>638.38442275246689</v>
      </c>
      <c r="Q9" s="118">
        <v>110.36367308812613</v>
      </c>
      <c r="R9" s="118">
        <v>49.5946087391454</v>
      </c>
      <c r="S9" s="118">
        <v>0</v>
      </c>
      <c r="T9" s="118">
        <v>0</v>
      </c>
      <c r="U9" s="118">
        <v>641.64547999999866</v>
      </c>
      <c r="V9" s="118">
        <v>54.998183999999881</v>
      </c>
      <c r="W9" s="118">
        <v>252.07500999999945</v>
      </c>
      <c r="X9" s="118">
        <f t="shared" si="0"/>
        <v>1747.0613785797364</v>
      </c>
      <c r="Y9" s="118">
        <v>381.18961424175171</v>
      </c>
      <c r="Z9" s="124">
        <f t="shared" si="1"/>
        <v>2205.3175426780681</v>
      </c>
      <c r="AA9" s="114">
        <f t="shared" si="2"/>
        <v>1796.0260235999817</v>
      </c>
      <c r="AB9" s="114">
        <f t="shared" si="3"/>
        <v>320.25839537122522</v>
      </c>
      <c r="AC9" s="116">
        <f>AC19</f>
        <v>681.61434977578472</v>
      </c>
      <c r="AD9" s="144">
        <f>AD19</f>
        <v>0.24777440276517482</v>
      </c>
      <c r="AE9" s="147">
        <v>2525</v>
      </c>
      <c r="AF9" s="144">
        <f t="shared" si="4"/>
        <v>0.59317398937394383</v>
      </c>
      <c r="AG9">
        <v>95</v>
      </c>
      <c r="AH9" s="119">
        <f t="shared" si="5"/>
        <v>97.374999999999986</v>
      </c>
      <c r="AI9" s="119">
        <f t="shared" si="6"/>
        <v>145.84480096860162</v>
      </c>
      <c r="AJ9" t="s">
        <v>426</v>
      </c>
    </row>
    <row r="10" spans="1:46">
      <c r="A10" t="s">
        <v>435</v>
      </c>
      <c r="B10" s="114">
        <v>1223</v>
      </c>
      <c r="C10" s="114">
        <v>320</v>
      </c>
      <c r="D10" s="114">
        <v>2977</v>
      </c>
      <c r="E10" s="114">
        <v>204629</v>
      </c>
      <c r="F10" s="114">
        <v>225475</v>
      </c>
      <c r="G10" s="114">
        <v>708.72644500000001</v>
      </c>
      <c r="H10" s="114">
        <v>5976.6699734641716</v>
      </c>
      <c r="I10" s="115">
        <v>2.6242003821550219</v>
      </c>
      <c r="J10" s="116">
        <v>536.98749999999995</v>
      </c>
      <c r="K10" s="115">
        <v>454.31</v>
      </c>
      <c r="L10" s="117">
        <v>0.704364860997997</v>
      </c>
      <c r="M10" s="116">
        <v>6633.0285541150079</v>
      </c>
      <c r="N10" s="117">
        <v>0.44400000000000001</v>
      </c>
      <c r="O10" s="118">
        <v>122.84522327699989</v>
      </c>
      <c r="P10" s="118">
        <v>83.132766613196495</v>
      </c>
      <c r="Q10" s="118">
        <v>26.1988185756096</v>
      </c>
      <c r="R10" s="118">
        <v>13.513638088193799</v>
      </c>
      <c r="S10" s="118">
        <v>0</v>
      </c>
      <c r="T10" s="118">
        <v>0</v>
      </c>
      <c r="U10" s="118">
        <v>165.10500000000002</v>
      </c>
      <c r="V10" s="118">
        <v>14.676</v>
      </c>
      <c r="W10" s="118">
        <v>55.034999999999997</v>
      </c>
      <c r="X10" s="118">
        <f t="shared" si="0"/>
        <v>357.66122327699992</v>
      </c>
      <c r="Y10" s="118">
        <v>292.4458080760424</v>
      </c>
      <c r="Z10" s="124">
        <f t="shared" si="1"/>
        <v>1747.8520799935486</v>
      </c>
      <c r="AA10" s="114">
        <f t="shared" si="2"/>
        <v>1563.8057166872729</v>
      </c>
      <c r="AB10" s="114">
        <f t="shared" si="3"/>
        <v>656.35858065083642</v>
      </c>
      <c r="AC10" s="116">
        <f>AC24</f>
        <v>681.61434977578472</v>
      </c>
      <c r="AD10" s="144">
        <f>AD24</f>
        <v>0.28630350536825183</v>
      </c>
      <c r="AE10" s="147">
        <v>716.06435199999896</v>
      </c>
      <c r="AF10" s="144">
        <f t="shared" si="4"/>
        <v>0.74991514170503037</v>
      </c>
      <c r="AG10">
        <v>100</v>
      </c>
      <c r="AH10" s="119">
        <f t="shared" si="5"/>
        <v>102.49999999999999</v>
      </c>
      <c r="AI10" s="119">
        <f t="shared" si="6"/>
        <v>55.041218749999985</v>
      </c>
      <c r="AJ10" t="s">
        <v>436</v>
      </c>
    </row>
    <row r="11" spans="1:46">
      <c r="A11" t="s">
        <v>437</v>
      </c>
      <c r="B11" s="114">
        <v>1481.069466141</v>
      </c>
      <c r="C11" s="114">
        <v>267.343186019999</v>
      </c>
      <c r="D11" s="114">
        <v>4321.3778430809898</v>
      </c>
      <c r="E11" s="114">
        <v>348856.5</v>
      </c>
      <c r="F11" s="114">
        <v>383818</v>
      </c>
      <c r="G11" s="114">
        <v>1139.77226715391</v>
      </c>
      <c r="H11" s="114">
        <v>4245.4976935817449</v>
      </c>
      <c r="I11" s="115">
        <v>1.3899554272281582</v>
      </c>
      <c r="J11" s="116">
        <v>484.89498549881995</v>
      </c>
      <c r="K11" s="115">
        <v>416.18933447040484</v>
      </c>
      <c r="L11" s="117">
        <v>0.64235953177461769</v>
      </c>
      <c r="M11" s="116">
        <v>4672.1663910272728</v>
      </c>
      <c r="N11" s="117">
        <v>0.61599999999999999</v>
      </c>
      <c r="O11" s="118">
        <v>184.4262645162822</v>
      </c>
      <c r="P11" s="118">
        <v>158.99905737865799</v>
      </c>
      <c r="Q11" s="118">
        <v>24.0302920180794</v>
      </c>
      <c r="R11" s="118">
        <v>1.3969151195448199</v>
      </c>
      <c r="S11" s="118">
        <v>0</v>
      </c>
      <c r="T11" s="118">
        <v>0</v>
      </c>
      <c r="U11" s="118">
        <v>133.29625195269</v>
      </c>
      <c r="V11" s="118">
        <v>37.026736653524999</v>
      </c>
      <c r="W11" s="118">
        <v>88.864167968459995</v>
      </c>
      <c r="X11" s="118">
        <f t="shared" si="0"/>
        <v>443.61342109095722</v>
      </c>
      <c r="Y11" s="118">
        <v>299.52235950607638</v>
      </c>
      <c r="Z11" s="124">
        <f t="shared" si="1"/>
        <v>1271.6214864592096</v>
      </c>
      <c r="AA11" s="114">
        <f t="shared" si="2"/>
        <v>766.34142124340235</v>
      </c>
      <c r="AB11" s="114">
        <f t="shared" si="3"/>
        <v>426.66869744552804</v>
      </c>
      <c r="AC11" s="116">
        <f>AC20</f>
        <v>793.06487695749445</v>
      </c>
      <c r="AD11" s="144">
        <f>AD20</f>
        <v>0.25226754385021311</v>
      </c>
      <c r="AE11" s="147">
        <v>1081.3604664</v>
      </c>
      <c r="AF11" s="144">
        <f t="shared" si="4"/>
        <v>0.44841197784222969</v>
      </c>
      <c r="AG11">
        <v>90</v>
      </c>
      <c r="AH11" s="119">
        <f t="shared" si="5"/>
        <v>92.249999999999986</v>
      </c>
      <c r="AI11" s="119">
        <f t="shared" si="6"/>
        <v>44.731562412266129</v>
      </c>
      <c r="AJ11" t="s">
        <v>428</v>
      </c>
    </row>
    <row r="12" spans="1:46">
      <c r="A12" t="s">
        <v>438</v>
      </c>
      <c r="B12" s="114">
        <v>3882.59</v>
      </c>
      <c r="C12" s="114">
        <v>1134</v>
      </c>
      <c r="D12" s="114">
        <v>11204.39</v>
      </c>
      <c r="E12" s="114">
        <v>817917</v>
      </c>
      <c r="F12" s="114">
        <v>936897</v>
      </c>
      <c r="G12" s="114">
        <v>2569</v>
      </c>
      <c r="H12" s="114">
        <v>4746.9241989101583</v>
      </c>
      <c r="I12" s="115">
        <v>1.3899554272281582</v>
      </c>
      <c r="J12" s="116">
        <v>1136.8681731721736</v>
      </c>
      <c r="K12" s="115">
        <v>1765.3665025677278</v>
      </c>
      <c r="L12" s="117">
        <v>0.64235953177461769</v>
      </c>
      <c r="M12" s="116">
        <v>5518.844213493212</v>
      </c>
      <c r="N12" s="117">
        <v>0.61599999999999999</v>
      </c>
      <c r="O12" s="118">
        <v>521.80199431756523</v>
      </c>
      <c r="P12" s="118">
        <v>463.96950922588098</v>
      </c>
      <c r="Q12" s="118">
        <v>51.978074292435601</v>
      </c>
      <c r="R12" s="118">
        <v>5.8544107992485799</v>
      </c>
      <c r="S12" s="118">
        <v>0</v>
      </c>
      <c r="T12" s="118">
        <v>0</v>
      </c>
      <c r="U12" s="118">
        <v>349.43310000000002</v>
      </c>
      <c r="V12" s="118">
        <v>97.064750000000004</v>
      </c>
      <c r="W12" s="118">
        <v>232.9554</v>
      </c>
      <c r="X12" s="118">
        <f t="shared" si="0"/>
        <v>1201.2552443175653</v>
      </c>
      <c r="Y12" s="118">
        <v>309.39533773011448</v>
      </c>
      <c r="Z12" s="124">
        <f t="shared" si="1"/>
        <v>1468.6762157010614</v>
      </c>
      <c r="AA12" s="114">
        <f t="shared" si="2"/>
        <v>1386.4487472445248</v>
      </c>
      <c r="AB12" s="114">
        <f t="shared" si="3"/>
        <v>771.92001458305401</v>
      </c>
      <c r="AC12" s="116">
        <f>AC20</f>
        <v>793.06487695749445</v>
      </c>
      <c r="AD12" s="144">
        <f>AD20</f>
        <v>0.25226754385021311</v>
      </c>
      <c r="AE12" s="147">
        <v>2137</v>
      </c>
      <c r="AF12" s="144">
        <f t="shared" si="4"/>
        <v>0.53199259390368436</v>
      </c>
      <c r="AG12">
        <v>90</v>
      </c>
      <c r="AH12" s="119">
        <f t="shared" si="5"/>
        <v>92.249999999999986</v>
      </c>
      <c r="AI12" s="119">
        <f t="shared" si="6"/>
        <v>104.876088975133</v>
      </c>
      <c r="AJ12" t="s">
        <v>428</v>
      </c>
    </row>
    <row r="13" spans="1:46">
      <c r="A13" t="s">
        <v>439</v>
      </c>
      <c r="B13" s="114">
        <v>3597.10661828</v>
      </c>
      <c r="C13" s="114">
        <v>1629.21</v>
      </c>
      <c r="D13" s="114">
        <v>9729.6520288949905</v>
      </c>
      <c r="E13" s="114">
        <v>829669</v>
      </c>
      <c r="F13" s="114">
        <v>945709</v>
      </c>
      <c r="G13" s="114">
        <v>2690.7429999999899</v>
      </c>
      <c r="H13" s="114">
        <v>4335.5924088763113</v>
      </c>
      <c r="I13" s="115">
        <v>1.6596980241518002</v>
      </c>
      <c r="J13" s="116">
        <v>1377</v>
      </c>
      <c r="K13" s="115">
        <v>2536.289911506497</v>
      </c>
      <c r="L13" s="117">
        <v>0.64235953177461769</v>
      </c>
      <c r="M13" s="116">
        <v>5428.8957762511282</v>
      </c>
      <c r="N13" s="117">
        <v>0.52300000000000002</v>
      </c>
      <c r="O13" s="118">
        <v>713.17359934988622</v>
      </c>
      <c r="P13" s="118">
        <v>496.00692663853903</v>
      </c>
      <c r="Q13" s="118">
        <v>158.84460935006399</v>
      </c>
      <c r="R13" s="118">
        <v>58.322063361283199</v>
      </c>
      <c r="S13" s="118">
        <v>0</v>
      </c>
      <c r="T13" s="118">
        <v>0</v>
      </c>
      <c r="U13" s="118">
        <v>557.55152583339998</v>
      </c>
      <c r="V13" s="118">
        <v>46.762386037640006</v>
      </c>
      <c r="W13" s="118">
        <v>233.81193018820002</v>
      </c>
      <c r="X13" s="118">
        <f t="shared" si="0"/>
        <v>1551.2994414091263</v>
      </c>
      <c r="Y13" s="118">
        <v>431.26312506992048</v>
      </c>
      <c r="Z13" s="124">
        <f t="shared" si="1"/>
        <v>1869.7811312814224</v>
      </c>
      <c r="AA13" s="114">
        <f t="shared" si="2"/>
        <v>1963.6867232595166</v>
      </c>
      <c r="AB13" s="114">
        <f t="shared" si="3"/>
        <v>1093.3033673748168</v>
      </c>
      <c r="AC13" s="116">
        <f>AC22</f>
        <v>283.54430379746833</v>
      </c>
      <c r="AD13" s="144">
        <f>AD22</f>
        <v>0.4428421927027395</v>
      </c>
      <c r="AE13" s="147">
        <v>2429.3429999999898</v>
      </c>
      <c r="AF13" s="144">
        <f t="shared" si="4"/>
        <v>0.56681991797782605</v>
      </c>
      <c r="AG13">
        <v>100</v>
      </c>
      <c r="AH13" s="119">
        <f t="shared" si="5"/>
        <v>102.49999999999999</v>
      </c>
      <c r="AI13" s="119">
        <f t="shared" si="6"/>
        <v>141.14249999999998</v>
      </c>
      <c r="AJ13" t="s">
        <v>440</v>
      </c>
    </row>
    <row r="14" spans="1:46">
      <c r="A14" t="s">
        <v>441</v>
      </c>
      <c r="B14" s="114">
        <v>2061.8804419231001</v>
      </c>
      <c r="C14" s="114">
        <v>200.35004730879899</v>
      </c>
      <c r="D14" s="114">
        <v>4565.6936537606998</v>
      </c>
      <c r="E14" s="114">
        <v>262511.339779759</v>
      </c>
      <c r="F14" s="114">
        <v>307118</v>
      </c>
      <c r="G14" s="114">
        <v>1070.2447939348899</v>
      </c>
      <c r="H14" s="114">
        <v>7854.4433305356279</v>
      </c>
      <c r="I14" s="115">
        <v>2.7675471109534819</v>
      </c>
      <c r="J14" s="116">
        <v>726.51249999999993</v>
      </c>
      <c r="K14" s="115">
        <v>294</v>
      </c>
      <c r="L14" s="117">
        <v>0.68146274594829592</v>
      </c>
      <c r="M14" s="116">
        <v>8211.1896439321117</v>
      </c>
      <c r="N14" s="117">
        <v>7.3999999999999996E-2</v>
      </c>
      <c r="O14" s="118">
        <v>260.39205173525158</v>
      </c>
      <c r="P14" s="118">
        <v>213.75042332613</v>
      </c>
      <c r="Q14" s="118">
        <v>46.641628409121601</v>
      </c>
      <c r="R14" s="118">
        <v>0</v>
      </c>
      <c r="S14" s="118">
        <v>0</v>
      </c>
      <c r="T14" s="118">
        <v>0</v>
      </c>
      <c r="U14" s="118">
        <v>154.64103314423249</v>
      </c>
      <c r="V14" s="118">
        <v>26.804445745000304</v>
      </c>
      <c r="W14" s="118">
        <v>92.784619886539502</v>
      </c>
      <c r="X14" s="118">
        <f t="shared" si="0"/>
        <v>534.62215051102385</v>
      </c>
      <c r="Y14" s="118">
        <v>259.28862781800569</v>
      </c>
      <c r="Z14" s="124">
        <f t="shared" si="1"/>
        <v>2036.5678334488694</v>
      </c>
      <c r="AA14" s="114">
        <f t="shared" si="2"/>
        <v>763.20530563322745</v>
      </c>
      <c r="AB14" s="114">
        <f t="shared" si="3"/>
        <v>356.74631339648477</v>
      </c>
      <c r="AC14" s="116">
        <f>AC23</f>
        <v>204.75698035160289</v>
      </c>
      <c r="AD14" s="144">
        <f>AD23</f>
        <v>0.2051152342946394</v>
      </c>
      <c r="AE14" s="147">
        <v>993.87658000199895</v>
      </c>
      <c r="AF14" s="144">
        <f t="shared" si="4"/>
        <v>0.73098865052091144</v>
      </c>
      <c r="AG14">
        <v>120</v>
      </c>
      <c r="AH14" s="119">
        <f t="shared" si="5"/>
        <v>122.99999999999999</v>
      </c>
      <c r="AI14" s="119">
        <f t="shared" si="6"/>
        <v>89.361037499999981</v>
      </c>
      <c r="AJ14" t="s">
        <v>442</v>
      </c>
    </row>
    <row r="15" spans="1:46">
      <c r="A15" t="s">
        <v>443</v>
      </c>
      <c r="B15" s="114">
        <v>2870.3</v>
      </c>
      <c r="C15" s="114">
        <v>489.9</v>
      </c>
      <c r="D15" s="114">
        <v>7507.1</v>
      </c>
      <c r="E15" s="114">
        <v>642466</v>
      </c>
      <c r="F15" s="114">
        <v>717973</v>
      </c>
      <c r="G15" s="114">
        <v>2344.2510000000002</v>
      </c>
      <c r="H15" s="114">
        <v>4467.6294154087536</v>
      </c>
      <c r="I15" s="115">
        <v>1.8906295893093295</v>
      </c>
      <c r="J15" s="116">
        <v>1214.6652297252076</v>
      </c>
      <c r="K15" s="115">
        <v>762.65701023626968</v>
      </c>
      <c r="L15" s="117">
        <v>0.64235953177461769</v>
      </c>
      <c r="M15" s="116">
        <v>4892.1764112595374</v>
      </c>
      <c r="N15" s="117">
        <v>0.39100000000000001</v>
      </c>
      <c r="O15" s="118">
        <v>341.35404069931718</v>
      </c>
      <c r="P15" s="118">
        <v>286.52900159404601</v>
      </c>
      <c r="Q15" s="118">
        <v>47.974995288944299</v>
      </c>
      <c r="R15" s="118">
        <v>6.8500438163268704</v>
      </c>
      <c r="S15" s="118">
        <v>0</v>
      </c>
      <c r="T15" s="118">
        <v>0</v>
      </c>
      <c r="U15" s="118">
        <v>258.327</v>
      </c>
      <c r="V15" s="118">
        <v>71.757500000000007</v>
      </c>
      <c r="W15" s="118">
        <v>172.21800000000002</v>
      </c>
      <c r="X15" s="118">
        <f t="shared" si="0"/>
        <v>843.65654069931725</v>
      </c>
      <c r="Y15" s="118">
        <v>293.92625882288166</v>
      </c>
      <c r="Z15" s="124">
        <f t="shared" si="1"/>
        <v>1313.1535998781528</v>
      </c>
      <c r="AA15" s="114">
        <f t="shared" si="2"/>
        <v>762.53062418867296</v>
      </c>
      <c r="AB15" s="114">
        <f t="shared" si="3"/>
        <v>424.54699585078384</v>
      </c>
      <c r="AC15" s="116">
        <f>AC20</f>
        <v>793.06487695749445</v>
      </c>
      <c r="AD15" s="144">
        <f>AD20</f>
        <v>0.25226754385021311</v>
      </c>
      <c r="AE15" s="147">
        <v>1928.5440000000001</v>
      </c>
      <c r="AF15" s="144">
        <f t="shared" si="4"/>
        <v>0.62983537307170978</v>
      </c>
      <c r="AG15">
        <v>140</v>
      </c>
      <c r="AH15" s="119">
        <f t="shared" si="5"/>
        <v>143.5</v>
      </c>
      <c r="AI15" s="119">
        <f t="shared" si="6"/>
        <v>174.3044604655673</v>
      </c>
      <c r="AJ15" t="s">
        <v>428</v>
      </c>
    </row>
    <row r="16" spans="1:46">
      <c r="A16" t="s">
        <v>444</v>
      </c>
      <c r="B16" s="114">
        <v>707.03</v>
      </c>
      <c r="C16" s="114">
        <v>81.19</v>
      </c>
      <c r="D16" s="114">
        <v>1689.96</v>
      </c>
      <c r="E16" s="114">
        <v>75799</v>
      </c>
      <c r="F16" s="114">
        <v>86559</v>
      </c>
      <c r="G16" s="114">
        <v>346</v>
      </c>
      <c r="H16" s="114">
        <v>9327.6956160371501</v>
      </c>
      <c r="I16" s="115">
        <v>3.750544202430111</v>
      </c>
      <c r="J16" s="116">
        <v>284.28750000000002</v>
      </c>
      <c r="K16" s="115">
        <v>218</v>
      </c>
      <c r="L16" s="117">
        <v>0.37243119266055047</v>
      </c>
      <c r="M16" s="116">
        <v>11132.600693940552</v>
      </c>
      <c r="N16" s="117">
        <v>9.8000000000000004E-2</v>
      </c>
      <c r="O16" s="119">
        <v>96.219170536997822</v>
      </c>
      <c r="P16">
        <v>96.219170536997822</v>
      </c>
      <c r="Q16" s="118">
        <v>0</v>
      </c>
      <c r="R16" s="118">
        <v>0</v>
      </c>
      <c r="S16" s="118">
        <v>0</v>
      </c>
      <c r="T16" s="118">
        <v>0</v>
      </c>
      <c r="U16" s="118">
        <v>90.812537896002183</v>
      </c>
      <c r="V16" s="118">
        <v>0</v>
      </c>
      <c r="W16" s="118">
        <v>35.351500000000001</v>
      </c>
      <c r="X16" s="118">
        <f t="shared" si="0"/>
        <v>222.38320843299999</v>
      </c>
      <c r="Y16" s="118">
        <v>314.53150281176192</v>
      </c>
      <c r="Z16" s="124">
        <f t="shared" si="1"/>
        <v>2933.854119882848</v>
      </c>
      <c r="AA16" s="114">
        <f t="shared" si="2"/>
        <v>1071.1223103207167</v>
      </c>
      <c r="AB16" s="114">
        <f t="shared" si="3"/>
        <v>1804.9050779034023</v>
      </c>
      <c r="AC16" s="116">
        <f>AC25</f>
        <v>765.4320987654321</v>
      </c>
      <c r="AD16" s="144">
        <f>AD25</f>
        <v>0.28873105138491223</v>
      </c>
      <c r="AE16" s="147">
        <v>322</v>
      </c>
      <c r="AF16" s="144">
        <f t="shared" si="4"/>
        <v>0.8828804347826088</v>
      </c>
      <c r="AG16">
        <v>230</v>
      </c>
      <c r="AH16" s="119">
        <f t="shared" si="5"/>
        <v>235.74999999999997</v>
      </c>
      <c r="AI16" s="119">
        <f t="shared" si="6"/>
        <v>67.020778124999993</v>
      </c>
      <c r="AJ16" t="s">
        <v>445</v>
      </c>
    </row>
    <row r="17" spans="1:36">
      <c r="A17" t="s">
        <v>446</v>
      </c>
      <c r="B17" s="114">
        <v>326.46934656130026</v>
      </c>
      <c r="C17" s="114">
        <v>76.74019616358423</v>
      </c>
      <c r="D17" s="114">
        <v>467.87187463929882</v>
      </c>
      <c r="E17" s="114">
        <v>35000</v>
      </c>
      <c r="F17" s="114">
        <v>38000</v>
      </c>
      <c r="G17" s="114"/>
      <c r="H17" s="114">
        <v>9327.6956160371501</v>
      </c>
      <c r="I17" s="115">
        <v>1.8228816004616717</v>
      </c>
      <c r="J17" s="116">
        <v>63.800856016158512</v>
      </c>
      <c r="K17" s="115">
        <v>206.05201088386946</v>
      </c>
      <c r="L17" s="117">
        <v>0.37243119266055047</v>
      </c>
      <c r="M17" s="116">
        <v>13022.318893759586</v>
      </c>
      <c r="N17" s="117">
        <v>0.56399999999999995</v>
      </c>
      <c r="O17" s="119">
        <v>78.451846926014852</v>
      </c>
      <c r="P17" s="118">
        <v>78.451846926014852</v>
      </c>
      <c r="U17" s="118">
        <v>32.263854451623679</v>
      </c>
      <c r="V17" s="118">
        <v>0</v>
      </c>
      <c r="W17" s="118">
        <v>9.7940803968390071</v>
      </c>
      <c r="X17" s="118">
        <f t="shared" si="0"/>
        <v>120.50978177447755</v>
      </c>
      <c r="Y17" s="118">
        <v>369.13046521459478</v>
      </c>
      <c r="Z17" s="124">
        <f t="shared" si="1"/>
        <v>3443.1366221279291</v>
      </c>
      <c r="AA17" s="114">
        <f t="shared" si="2"/>
        <v>2192.5770332452635</v>
      </c>
      <c r="AB17" s="114">
        <f t="shared" si="3"/>
        <v>3694.6232777224345</v>
      </c>
      <c r="AC17" s="116">
        <f>AC26</f>
        <v>563.79100850546786</v>
      </c>
      <c r="AD17" s="144">
        <f>AD26</f>
        <v>0.44613831398528908</v>
      </c>
      <c r="AE17" s="148">
        <f>J17/AF17</f>
        <v>85.067808021544678</v>
      </c>
      <c r="AF17" s="144">
        <v>0.75</v>
      </c>
      <c r="AG17" s="144"/>
      <c r="AH17" s="119">
        <f>AH16</f>
        <v>235.74999999999997</v>
      </c>
      <c r="AI17" s="119">
        <f t="shared" si="6"/>
        <v>15.041051805809367</v>
      </c>
      <c r="AJ17" t="s">
        <v>447</v>
      </c>
    </row>
    <row r="18" spans="1:36">
      <c r="A18" t="s">
        <v>448</v>
      </c>
      <c r="B18" s="114">
        <v>5802</v>
      </c>
      <c r="C18" s="114">
        <v>1363.8236570474251</v>
      </c>
      <c r="D18" s="114">
        <v>8315</v>
      </c>
      <c r="E18" s="114">
        <v>1108670</v>
      </c>
      <c r="F18" s="114">
        <v>1196756</v>
      </c>
      <c r="G18" s="114"/>
      <c r="H18" s="114">
        <v>5233.2975547277365</v>
      </c>
      <c r="I18" s="115">
        <v>1.8228816004616717</v>
      </c>
      <c r="J18" s="116">
        <v>2020.9741439838417</v>
      </c>
      <c r="K18" s="115">
        <v>3661.9479891161304</v>
      </c>
      <c r="L18" s="117">
        <v>0.37243119266055047</v>
      </c>
      <c r="M18" s="116">
        <v>7306.1635401595649</v>
      </c>
      <c r="N18" s="117">
        <v>0.56399999999999995</v>
      </c>
      <c r="O18" s="119">
        <v>1577.6749932574999</v>
      </c>
      <c r="P18" s="118">
        <v>1577.6749932574999</v>
      </c>
      <c r="U18" s="118">
        <v>573.39191412622097</v>
      </c>
      <c r="V18" s="118">
        <v>0</v>
      </c>
      <c r="W18" s="118">
        <v>174.06</v>
      </c>
      <c r="X18" s="118">
        <f t="shared" si="0"/>
        <v>2325.1269073837211</v>
      </c>
      <c r="Y18" s="118">
        <v>400.74576135534664</v>
      </c>
      <c r="Z18" s="124">
        <f t="shared" si="1"/>
        <v>2097.2218129684406</v>
      </c>
      <c r="AA18" s="114">
        <f t="shared" si="2"/>
        <v>1230.1439175294947</v>
      </c>
      <c r="AB18" s="114">
        <f t="shared" si="3"/>
        <v>2072.8659854318289</v>
      </c>
      <c r="AC18" s="116">
        <f>AC26</f>
        <v>563.79100850546786</v>
      </c>
      <c r="AD18" s="144">
        <f>AD26</f>
        <v>0.44613831398528908</v>
      </c>
      <c r="AE18" s="147">
        <v>4233</v>
      </c>
      <c r="AF18" s="144">
        <f t="shared" si="4"/>
        <v>0.47743306023714666</v>
      </c>
      <c r="AG18" s="144"/>
      <c r="AH18" s="119">
        <f>AH8</f>
        <v>225.49999999999997</v>
      </c>
      <c r="AI18" s="119">
        <f t="shared" si="6"/>
        <v>455.72966946835624</v>
      </c>
      <c r="AJ18" t="s">
        <v>447</v>
      </c>
    </row>
    <row r="19" spans="1:36">
      <c r="A19" t="s">
        <v>426</v>
      </c>
      <c r="B19" s="114">
        <v>19008.15800565793</v>
      </c>
      <c r="C19" s="114">
        <v>4950.0260615649804</v>
      </c>
      <c r="D19" s="114">
        <v>55434.261443768999</v>
      </c>
      <c r="E19" s="114">
        <v>3421675</v>
      </c>
      <c r="F19" s="114">
        <v>3870969</v>
      </c>
      <c r="G19" s="114">
        <v>12813.04</v>
      </c>
      <c r="H19" s="114">
        <v>5555.2201789059245</v>
      </c>
      <c r="I19" s="115">
        <v>1.8906295893093295</v>
      </c>
      <c r="J19" s="116">
        <v>6469.12</v>
      </c>
      <c r="K19" s="116">
        <v>5832.69</v>
      </c>
      <c r="L19" s="117">
        <v>0.84866949238944311</v>
      </c>
      <c r="M19" s="116">
        <v>5813.1827084959696</v>
      </c>
      <c r="N19" s="120">
        <v>0.39100000000000001</v>
      </c>
      <c r="O19" s="118">
        <v>2573.6301649607472</v>
      </c>
      <c r="P19" s="118">
        <v>1948.2640647741666</v>
      </c>
      <c r="Q19" s="118">
        <v>402.67144235145184</v>
      </c>
      <c r="R19" s="118">
        <v>222.69465783512865</v>
      </c>
      <c r="S19" s="118">
        <v>12.704409315451249</v>
      </c>
      <c r="T19" s="118">
        <v>-1.2178705575535111</v>
      </c>
      <c r="U19" s="118">
        <v>2661.1421207921103</v>
      </c>
      <c r="V19" s="118">
        <v>228.09789606789516</v>
      </c>
      <c r="W19" s="118">
        <v>1045.4486903111861</v>
      </c>
      <c r="X19" s="118">
        <f t="shared" si="0"/>
        <v>6508.3188721319384</v>
      </c>
      <c r="Y19" s="118">
        <v>342.39608436518074</v>
      </c>
      <c r="Z19" s="124">
        <f t="shared" si="1"/>
        <v>1902.0856370438275</v>
      </c>
      <c r="AA19" s="114">
        <f t="shared" si="2"/>
        <v>1446.6675127137967</v>
      </c>
      <c r="AB19" s="114">
        <f t="shared" si="3"/>
        <v>257.96252959004556</v>
      </c>
      <c r="AC19" s="142">
        <v>681.61434977578472</v>
      </c>
      <c r="AD19" s="144">
        <v>0.24777440276517482</v>
      </c>
      <c r="AE19" s="114">
        <f>AE3+AE6+AE9</f>
        <v>11595.9</v>
      </c>
      <c r="AF19" s="144">
        <f t="shared" si="4"/>
        <v>0.55787994032373511</v>
      </c>
      <c r="AG19" s="144"/>
      <c r="AH19" s="119">
        <f t="shared" ref="AH19:AH27" si="7">AI19/J19*1000</f>
        <v>106.77134283647628</v>
      </c>
      <c r="AI19" s="119">
        <f>AI3+AI6+AI9</f>
        <v>690.71662937030544</v>
      </c>
      <c r="AJ19" t="s">
        <v>426</v>
      </c>
    </row>
    <row r="20" spans="1:36">
      <c r="A20" t="s">
        <v>428</v>
      </c>
      <c r="B20" s="114">
        <v>12877.963969371001</v>
      </c>
      <c r="C20" s="114">
        <v>2778.8473344569961</v>
      </c>
      <c r="D20" s="114">
        <v>36090.87178155085</v>
      </c>
      <c r="E20" s="114">
        <v>2836148.5</v>
      </c>
      <c r="F20" s="114">
        <v>3212790.5</v>
      </c>
      <c r="G20" s="114">
        <v>9618.0668931539003</v>
      </c>
      <c r="H20" s="114">
        <v>4540.652215273989</v>
      </c>
      <c r="I20" s="115">
        <v>1.3899554272281582</v>
      </c>
      <c r="J20" s="116">
        <v>3942.12</v>
      </c>
      <c r="K20" s="116">
        <v>4326</v>
      </c>
      <c r="L20" s="117">
        <v>0.64235953177461769</v>
      </c>
      <c r="M20" s="116">
        <v>5086.164083056301</v>
      </c>
      <c r="N20" s="120">
        <v>0.61599999999999999</v>
      </c>
      <c r="O20" s="118">
        <v>1749.2017537521672</v>
      </c>
      <c r="P20" s="118">
        <v>1516.7724435153741</v>
      </c>
      <c r="Q20" s="118">
        <v>207.00779460377038</v>
      </c>
      <c r="R20" s="118">
        <v>25.421515633022207</v>
      </c>
      <c r="S20" s="118">
        <v>0</v>
      </c>
      <c r="T20" s="118">
        <v>0</v>
      </c>
      <c r="U20" s="118">
        <v>1159.01675724339</v>
      </c>
      <c r="V20" s="118">
        <v>321.94909923427508</v>
      </c>
      <c r="W20" s="118">
        <v>772.67783816226006</v>
      </c>
      <c r="X20" s="118">
        <f t="shared" si="0"/>
        <v>4002.8454483920923</v>
      </c>
      <c r="Y20" s="118">
        <v>310.82906101558251</v>
      </c>
      <c r="Z20" s="124">
        <f t="shared" si="1"/>
        <v>1411.3666644719385</v>
      </c>
      <c r="AA20" s="114">
        <f t="shared" si="2"/>
        <v>979.79613354413436</v>
      </c>
      <c r="AB20" s="114">
        <f t="shared" si="3"/>
        <v>545.51186778231249</v>
      </c>
      <c r="AC20" s="142">
        <v>793.06487695749445</v>
      </c>
      <c r="AD20" s="144">
        <v>0.25226754385021311</v>
      </c>
      <c r="AE20" s="114">
        <f>AE4+AE5+AE11+AE12+AE15</f>
        <v>8196.3480564000001</v>
      </c>
      <c r="AF20" s="144">
        <f t="shared" si="4"/>
        <v>0.48096054155751139</v>
      </c>
      <c r="AG20" s="144"/>
      <c r="AH20" s="119">
        <f t="shared" si="7"/>
        <v>105.11960507399111</v>
      </c>
      <c r="AI20" s="119">
        <f>AI4+AI5+AI11+AI12+AI15</f>
        <v>414.39409755428181</v>
      </c>
      <c r="AJ20" t="s">
        <v>428</v>
      </c>
    </row>
    <row r="21" spans="1:36">
      <c r="A21" t="s">
        <v>432</v>
      </c>
      <c r="B21" s="114">
        <v>13047.58</v>
      </c>
      <c r="C21" s="114">
        <v>3966.0168731132899</v>
      </c>
      <c r="D21" s="114">
        <v>36290.659999999996</v>
      </c>
      <c r="E21" s="114">
        <v>2127457</v>
      </c>
      <c r="F21" s="114">
        <v>2410497</v>
      </c>
      <c r="G21" s="114">
        <v>8169</v>
      </c>
      <c r="H21" s="114">
        <v>6132.9465178379642</v>
      </c>
      <c r="I21" s="115">
        <v>1.7460705433764347</v>
      </c>
      <c r="J21" s="116">
        <v>3714.6899999999996</v>
      </c>
      <c r="K21" s="116">
        <v>7063</v>
      </c>
      <c r="L21" s="117">
        <v>0.56152015759780405</v>
      </c>
      <c r="M21" s="116">
        <v>7588.6671866395945</v>
      </c>
      <c r="N21" s="120">
        <v>0.22700000000000001</v>
      </c>
      <c r="O21" s="118">
        <v>1840.436968241049</v>
      </c>
      <c r="P21" s="118">
        <v>1512.899204442851</v>
      </c>
      <c r="Q21" s="118">
        <v>239.60181399747819</v>
      </c>
      <c r="R21" s="118">
        <v>87.935949800719825</v>
      </c>
      <c r="S21" s="118">
        <v>27.729534802229651</v>
      </c>
      <c r="T21" s="118">
        <v>0</v>
      </c>
      <c r="U21" s="118">
        <v>1630.9475</v>
      </c>
      <c r="V21" s="118">
        <v>130.47579999999999</v>
      </c>
      <c r="W21" s="118">
        <v>717.61689999999999</v>
      </c>
      <c r="X21" s="118">
        <f t="shared" si="0"/>
        <v>4319.4771682410492</v>
      </c>
      <c r="Y21" s="118">
        <v>331.05581021469493</v>
      </c>
      <c r="Z21" s="124">
        <f t="shared" si="1"/>
        <v>2030.3475784662392</v>
      </c>
      <c r="AA21" s="114">
        <f t="shared" si="2"/>
        <v>1864.2054213614142</v>
      </c>
      <c r="AB21" s="114">
        <f t="shared" si="3"/>
        <v>1455.7206688016304</v>
      </c>
      <c r="AC21" s="142">
        <v>746.57534246575347</v>
      </c>
      <c r="AD21" s="144">
        <v>0.4366691900066253</v>
      </c>
      <c r="AE21" s="114">
        <f>AE8+AE7</f>
        <v>8166</v>
      </c>
      <c r="AF21" s="144">
        <f t="shared" si="4"/>
        <v>0.45489713445995589</v>
      </c>
      <c r="AG21" s="144"/>
      <c r="AH21" s="119">
        <f t="shared" si="7"/>
        <v>162.37023874043047</v>
      </c>
      <c r="AI21" s="119">
        <f>AI7+AI8</f>
        <v>603.15510214668961</v>
      </c>
      <c r="AJ21" t="s">
        <v>432</v>
      </c>
    </row>
    <row r="22" spans="1:36">
      <c r="A22" t="s">
        <v>440</v>
      </c>
      <c r="B22" s="114">
        <v>3597.10661828</v>
      </c>
      <c r="C22" s="114">
        <v>1629.21</v>
      </c>
      <c r="D22" s="114">
        <v>9729.6520288949905</v>
      </c>
      <c r="E22" s="114">
        <v>829669</v>
      </c>
      <c r="F22" s="114">
        <v>945709</v>
      </c>
      <c r="G22" s="114">
        <v>2690.7429999999899</v>
      </c>
      <c r="H22" s="114">
        <v>4335.5924088763113</v>
      </c>
      <c r="I22" s="115">
        <v>1.6596980241518002</v>
      </c>
      <c r="J22" s="116">
        <v>1377</v>
      </c>
      <c r="K22" s="116">
        <v>2596</v>
      </c>
      <c r="L22" s="117">
        <v>0.62758474576271184</v>
      </c>
      <c r="M22" s="116">
        <v>5500.8643426233839</v>
      </c>
      <c r="N22" s="120">
        <v>0.52300000000000002</v>
      </c>
      <c r="O22" s="118">
        <v>713.17359934988622</v>
      </c>
      <c r="P22" s="118">
        <v>496.00692663853903</v>
      </c>
      <c r="Q22" s="118">
        <v>158.84460935006399</v>
      </c>
      <c r="R22" s="118">
        <v>58.322063361283199</v>
      </c>
      <c r="S22" s="118">
        <v>0</v>
      </c>
      <c r="T22" s="118">
        <v>0</v>
      </c>
      <c r="U22" s="118">
        <v>557.55152583339998</v>
      </c>
      <c r="V22" s="118">
        <v>46.762386037640006</v>
      </c>
      <c r="W22" s="118">
        <v>233.81193018820002</v>
      </c>
      <c r="X22" s="118">
        <f t="shared" si="0"/>
        <v>1551.2994414091263</v>
      </c>
      <c r="Y22" s="118">
        <v>431.26312506992048</v>
      </c>
      <c r="Z22" s="124">
        <f t="shared" si="1"/>
        <v>1869.7811312814224</v>
      </c>
      <c r="AA22" s="114">
        <f t="shared" si="2"/>
        <v>1963.6867232595166</v>
      </c>
      <c r="AB22" s="114">
        <f t="shared" si="3"/>
        <v>1165.2719337470726</v>
      </c>
      <c r="AC22" s="142">
        <v>283.54430379746833</v>
      </c>
      <c r="AD22" s="144">
        <v>0.4428421927027395</v>
      </c>
      <c r="AE22" s="114">
        <f>AE13</f>
        <v>2429.3429999999898</v>
      </c>
      <c r="AF22" s="144">
        <f t="shared" si="4"/>
        <v>0.56681991797782605</v>
      </c>
      <c r="AG22" s="144"/>
      <c r="AH22" s="119">
        <f t="shared" si="7"/>
        <v>102.5</v>
      </c>
      <c r="AI22" s="119">
        <f>AI13</f>
        <v>141.14249999999998</v>
      </c>
      <c r="AJ22" t="s">
        <v>440</v>
      </c>
    </row>
    <row r="23" spans="1:36">
      <c r="A23" t="s">
        <v>442</v>
      </c>
      <c r="B23" s="114">
        <v>2061.8804419231001</v>
      </c>
      <c r="C23" s="114">
        <v>200.35004730879899</v>
      </c>
      <c r="D23" s="114">
        <v>4565.6936537606998</v>
      </c>
      <c r="E23" s="114">
        <v>262511.339779759</v>
      </c>
      <c r="F23" s="114">
        <v>307118</v>
      </c>
      <c r="G23" s="114">
        <v>1070.2447939348899</v>
      </c>
      <c r="H23" s="114">
        <v>7854.4433305356279</v>
      </c>
      <c r="I23" s="115">
        <v>2.7675471109534819</v>
      </c>
      <c r="J23" s="116">
        <v>726.51249999999993</v>
      </c>
      <c r="K23" s="116">
        <v>294</v>
      </c>
      <c r="L23" s="117">
        <v>0.68146274594829592</v>
      </c>
      <c r="M23" s="116">
        <v>8211.1896439321117</v>
      </c>
      <c r="N23" s="120">
        <v>7.3999999999999996E-2</v>
      </c>
      <c r="O23" s="118">
        <v>260.39205173525158</v>
      </c>
      <c r="P23" s="118">
        <v>213.75042332613</v>
      </c>
      <c r="Q23" s="118">
        <v>46.641628409121601</v>
      </c>
      <c r="R23" s="118">
        <v>0</v>
      </c>
      <c r="S23" s="118">
        <v>0</v>
      </c>
      <c r="T23" s="118">
        <v>0</v>
      </c>
      <c r="U23" s="118">
        <v>154.64103314423249</v>
      </c>
      <c r="V23" s="118">
        <v>26.804445745000304</v>
      </c>
      <c r="W23" s="118">
        <v>92.784619886539502</v>
      </c>
      <c r="X23" s="118">
        <f t="shared" si="0"/>
        <v>534.62215051102385</v>
      </c>
      <c r="Y23" s="118">
        <v>259.28862781800569</v>
      </c>
      <c r="Z23" s="124">
        <f t="shared" si="1"/>
        <v>2036.5678334488694</v>
      </c>
      <c r="AA23" s="114">
        <f t="shared" si="2"/>
        <v>763.20530563322745</v>
      </c>
      <c r="AB23" s="114">
        <f t="shared" si="3"/>
        <v>356.74631339648477</v>
      </c>
      <c r="AC23" s="142">
        <v>204.75698035160289</v>
      </c>
      <c r="AD23" s="144">
        <v>0.2051152342946394</v>
      </c>
      <c r="AE23" s="114">
        <f>AE14</f>
        <v>993.87658000199895</v>
      </c>
      <c r="AF23" s="144">
        <f t="shared" si="4"/>
        <v>0.73098865052091144</v>
      </c>
      <c r="AG23" s="144"/>
      <c r="AH23" s="119">
        <f t="shared" si="7"/>
        <v>122.99999999999999</v>
      </c>
      <c r="AI23" s="119">
        <f>AI14</f>
        <v>89.361037499999981</v>
      </c>
      <c r="AJ23" t="s">
        <v>442</v>
      </c>
    </row>
    <row r="24" spans="1:36">
      <c r="A24" t="s">
        <v>436</v>
      </c>
      <c r="B24" s="114">
        <v>1223</v>
      </c>
      <c r="C24" s="114">
        <v>320</v>
      </c>
      <c r="D24" s="114">
        <v>2977</v>
      </c>
      <c r="E24" s="114">
        <v>204629</v>
      </c>
      <c r="F24" s="114">
        <v>225475</v>
      </c>
      <c r="G24" s="114">
        <v>708.72644500000001</v>
      </c>
      <c r="H24" s="114">
        <v>5976.6699734641716</v>
      </c>
      <c r="I24" s="115">
        <v>2.6242003821550219</v>
      </c>
      <c r="J24" s="116">
        <v>536.98749999999995</v>
      </c>
      <c r="K24" s="116">
        <v>454.31</v>
      </c>
      <c r="L24" s="117">
        <v>0.704364860997997</v>
      </c>
      <c r="M24" s="116">
        <v>6633.0285541150079</v>
      </c>
      <c r="N24" s="120">
        <v>0.44400000000000001</v>
      </c>
      <c r="O24" s="118">
        <v>122.84522327699989</v>
      </c>
      <c r="P24" s="118">
        <v>83.132766613196495</v>
      </c>
      <c r="Q24" s="118">
        <v>26.1988185756096</v>
      </c>
      <c r="R24" s="118">
        <v>13.513638088193799</v>
      </c>
      <c r="S24" s="118">
        <v>0</v>
      </c>
      <c r="T24" s="118">
        <v>0</v>
      </c>
      <c r="U24" s="118">
        <v>165.10500000000002</v>
      </c>
      <c r="V24" s="118">
        <v>14.676</v>
      </c>
      <c r="W24" s="118">
        <v>55.034999999999997</v>
      </c>
      <c r="X24" s="118">
        <f t="shared" si="0"/>
        <v>357.66122327699992</v>
      </c>
      <c r="Y24" s="118">
        <v>292.4458080760424</v>
      </c>
      <c r="Z24" s="124">
        <f t="shared" si="1"/>
        <v>1747.8520799935486</v>
      </c>
      <c r="AA24" s="114">
        <f t="shared" si="2"/>
        <v>1563.8057166872729</v>
      </c>
      <c r="AB24" s="114">
        <f t="shared" si="3"/>
        <v>656.35858065083642</v>
      </c>
      <c r="AC24" s="142">
        <v>681.61434977578472</v>
      </c>
      <c r="AD24" s="144">
        <v>0.28630350536825183</v>
      </c>
      <c r="AE24" s="114">
        <f>AE10</f>
        <v>716.06435199999896</v>
      </c>
      <c r="AF24" s="144">
        <f t="shared" si="4"/>
        <v>0.74991514170503037</v>
      </c>
      <c r="AG24" s="144"/>
      <c r="AH24" s="119">
        <f t="shared" si="7"/>
        <v>102.49999999999999</v>
      </c>
      <c r="AI24" s="119">
        <f>AI10</f>
        <v>55.041218749999985</v>
      </c>
      <c r="AJ24" t="s">
        <v>436</v>
      </c>
    </row>
    <row r="25" spans="1:36">
      <c r="A25" t="s">
        <v>445</v>
      </c>
      <c r="B25" s="114">
        <v>707.03</v>
      </c>
      <c r="C25" s="114">
        <v>81.19</v>
      </c>
      <c r="D25" s="114">
        <v>1689.96</v>
      </c>
      <c r="E25" s="114">
        <v>75799</v>
      </c>
      <c r="F25" s="114">
        <v>86559</v>
      </c>
      <c r="G25" s="114">
        <v>346</v>
      </c>
      <c r="H25" s="114">
        <v>9327.6956160371501</v>
      </c>
      <c r="I25" s="115">
        <v>3.750544202430111</v>
      </c>
      <c r="J25" s="116">
        <v>284.28750000000002</v>
      </c>
      <c r="K25" s="116">
        <v>218</v>
      </c>
      <c r="L25" s="117">
        <v>0.37243119266055047</v>
      </c>
      <c r="M25" s="116">
        <v>11132.600693940552</v>
      </c>
      <c r="N25" s="120">
        <v>9.8000000000000004E-2</v>
      </c>
      <c r="O25" s="118">
        <v>96.219170536997822</v>
      </c>
      <c r="P25" s="118">
        <v>96.219170536997822</v>
      </c>
      <c r="Q25" s="118">
        <v>0</v>
      </c>
      <c r="R25" s="118">
        <v>0</v>
      </c>
      <c r="S25" s="118">
        <v>0</v>
      </c>
      <c r="T25" s="118">
        <v>0</v>
      </c>
      <c r="U25" s="118">
        <v>90.812537896002183</v>
      </c>
      <c r="V25" s="118">
        <v>0</v>
      </c>
      <c r="W25" s="118">
        <v>35.351500000000001</v>
      </c>
      <c r="X25" s="118">
        <f t="shared" si="0"/>
        <v>222.38320843299999</v>
      </c>
      <c r="Y25" s="118">
        <v>314.53150281176192</v>
      </c>
      <c r="Z25" s="124">
        <f t="shared" si="1"/>
        <v>2933.854119882848</v>
      </c>
      <c r="AA25" s="114">
        <f t="shared" si="2"/>
        <v>1071.1223103207167</v>
      </c>
      <c r="AB25" s="114">
        <f t="shared" si="3"/>
        <v>1804.9050779034023</v>
      </c>
      <c r="AC25" s="142">
        <v>765.4320987654321</v>
      </c>
      <c r="AD25" s="144">
        <v>0.28873105138491223</v>
      </c>
      <c r="AE25" s="114">
        <f>AE16</f>
        <v>322</v>
      </c>
      <c r="AF25" s="144">
        <f t="shared" si="4"/>
        <v>0.8828804347826088</v>
      </c>
      <c r="AG25" s="144"/>
      <c r="AH25" s="119">
        <f t="shared" si="7"/>
        <v>235.74999999999997</v>
      </c>
      <c r="AI25" s="119">
        <f>AI16</f>
        <v>67.020778124999993</v>
      </c>
      <c r="AJ25" t="s">
        <v>445</v>
      </c>
    </row>
    <row r="26" spans="1:36">
      <c r="A26" t="s">
        <v>447</v>
      </c>
      <c r="B26" s="114">
        <v>6128.4693465613</v>
      </c>
      <c r="C26" s="114">
        <v>1440.5638532110092</v>
      </c>
      <c r="D26" s="114">
        <v>8782.8718746392988</v>
      </c>
      <c r="E26" s="114">
        <v>1143670</v>
      </c>
      <c r="F26" s="114">
        <v>1234756</v>
      </c>
      <c r="G26" s="114"/>
      <c r="H26" s="114">
        <v>5358.5993744360703</v>
      </c>
      <c r="I26" s="115">
        <v>1.8228816004616717</v>
      </c>
      <c r="J26" s="116">
        <v>2084.7750000000001</v>
      </c>
      <c r="K26" s="116">
        <v>3868</v>
      </c>
      <c r="L26" s="117">
        <v>0.37243119266055047</v>
      </c>
      <c r="M26" s="116">
        <v>7481.0963768834463</v>
      </c>
      <c r="N26" s="120">
        <v>0.56399999999999995</v>
      </c>
      <c r="O26" s="118">
        <v>1656.1268401835148</v>
      </c>
      <c r="P26" s="118">
        <v>1656.1268401835148</v>
      </c>
      <c r="Q26" s="118">
        <v>0</v>
      </c>
      <c r="R26" s="118">
        <v>0</v>
      </c>
      <c r="S26" s="118">
        <v>0</v>
      </c>
      <c r="T26" s="118">
        <v>0</v>
      </c>
      <c r="U26" s="118">
        <v>605.6557685778447</v>
      </c>
      <c r="V26" s="118">
        <v>0</v>
      </c>
      <c r="W26" s="118">
        <v>183.85408039683898</v>
      </c>
      <c r="X26" s="118">
        <f t="shared" si="0"/>
        <v>2445.6366891581984</v>
      </c>
      <c r="Y26" s="118">
        <v>399.06158468924241</v>
      </c>
      <c r="Z26" s="124">
        <f t="shared" si="1"/>
        <v>2138.4111580772415</v>
      </c>
      <c r="AA26" s="114">
        <f t="shared" si="2"/>
        <v>1259.5974828499561</v>
      </c>
      <c r="AB26" s="114">
        <f t="shared" si="3"/>
        <v>2122.497002447376</v>
      </c>
      <c r="AC26" s="142">
        <v>563.79100850546786</v>
      </c>
      <c r="AD26" s="144">
        <v>0.44613831398528908</v>
      </c>
      <c r="AE26" s="114">
        <f>AE18+AE17</f>
        <v>4318.0678080215448</v>
      </c>
      <c r="AF26" s="144">
        <f t="shared" si="4"/>
        <v>0.4828027471285134</v>
      </c>
      <c r="AG26" s="144"/>
      <c r="AH26" s="119">
        <f t="shared" si="7"/>
        <v>225.81368314286462</v>
      </c>
      <c r="AI26" s="119">
        <f>AI17+AI18</f>
        <v>470.77072127416562</v>
      </c>
      <c r="AJ26" t="s">
        <v>447</v>
      </c>
    </row>
    <row r="27" spans="1:36">
      <c r="A27" s="121" t="s">
        <v>449</v>
      </c>
      <c r="B27" s="114">
        <v>58651.188381793334</v>
      </c>
      <c r="C27" s="114">
        <v>15366.204169655075</v>
      </c>
      <c r="D27" s="114">
        <v>155560.97078261484</v>
      </c>
      <c r="E27" s="114">
        <v>10901558.839779759</v>
      </c>
      <c r="F27" s="114">
        <v>12293873.5</v>
      </c>
      <c r="G27" s="114"/>
      <c r="H27" s="114">
        <v>5380.0735512957381</v>
      </c>
      <c r="I27" s="115">
        <v>1.7552987404126679</v>
      </c>
      <c r="J27" s="116">
        <v>19135.492499999997</v>
      </c>
      <c r="K27" s="116">
        <v>24652</v>
      </c>
      <c r="L27" s="117">
        <v>0.62332484867982618</v>
      </c>
      <c r="M27" s="116">
        <v>6231.8596093098531</v>
      </c>
      <c r="N27" s="120">
        <v>0.4334835541459921</v>
      </c>
      <c r="O27" s="119">
        <v>9012.0257720366135</v>
      </c>
      <c r="P27" s="119">
        <v>7523.1718400307691</v>
      </c>
      <c r="Q27" s="119">
        <v>1080.9661072874953</v>
      </c>
      <c r="R27" s="119">
        <v>407.88782471834764</v>
      </c>
      <c r="S27" s="119">
        <v>40.433944117680902</v>
      </c>
      <c r="T27" s="119">
        <v>-1.2178705575535111</v>
      </c>
      <c r="U27" s="119">
        <v>7024.8722434869787</v>
      </c>
      <c r="V27" s="119">
        <v>768.76562708481049</v>
      </c>
      <c r="W27" s="119">
        <v>3136.5805589450251</v>
      </c>
      <c r="X27" s="118">
        <f t="shared" si="0"/>
        <v>19942.244201553429</v>
      </c>
      <c r="Y27" s="118">
        <v>340.01432454766683</v>
      </c>
      <c r="Z27" s="124">
        <f t="shared" si="1"/>
        <v>1829.3020745605875</v>
      </c>
      <c r="AA27" s="114">
        <f t="shared" si="2"/>
        <v>1409.5419192330401</v>
      </c>
      <c r="AB27" s="114">
        <f t="shared" si="3"/>
        <v>851.78605801411459</v>
      </c>
      <c r="AC27" s="142">
        <v>665.52901023890786</v>
      </c>
      <c r="AD27" s="144">
        <v>0.32144308137923244</v>
      </c>
      <c r="AE27" s="114">
        <f>SUM(AE19:AE26)</f>
        <v>36737.599796423528</v>
      </c>
      <c r="AF27" s="144">
        <f t="shared" si="4"/>
        <v>0.52086942549422821</v>
      </c>
      <c r="AG27" s="144"/>
      <c r="AH27" s="119">
        <f t="shared" si="7"/>
        <v>132.29876809914575</v>
      </c>
      <c r="AI27" s="119">
        <f>SUM(AI19:AI26)</f>
        <v>2531.6020847204427</v>
      </c>
      <c r="AJ27" t="s">
        <v>450</v>
      </c>
    </row>
    <row r="28" spans="1:36">
      <c r="A28" s="121" t="s">
        <v>451</v>
      </c>
      <c r="B28" s="114">
        <v>51815.689035232033</v>
      </c>
      <c r="C28" s="114">
        <v>13844.450316444065</v>
      </c>
      <c r="D28" s="114">
        <v>145088.13890797555</v>
      </c>
      <c r="E28" s="114">
        <v>9682089.8397797588</v>
      </c>
      <c r="F28" s="114">
        <v>10972558.5</v>
      </c>
      <c r="G28" s="114">
        <v>35069.821132088786</v>
      </c>
      <c r="H28" s="114">
        <v>5351.7050443327325</v>
      </c>
      <c r="I28" s="115">
        <v>1.7316953547687168</v>
      </c>
      <c r="J28" s="116">
        <v>16766.429999999997</v>
      </c>
      <c r="K28" s="116">
        <v>20566</v>
      </c>
      <c r="L28" s="117">
        <v>0.67317175515141814</v>
      </c>
      <c r="M28" s="116">
        <v>6045.9301336249046</v>
      </c>
      <c r="N28" s="120">
        <v>0.42102336881073577</v>
      </c>
      <c r="O28" s="119">
        <v>7259.6797613161007</v>
      </c>
      <c r="P28" s="119">
        <v>5770.8258293102563</v>
      </c>
      <c r="Q28" s="119">
        <v>1080.9661072874953</v>
      </c>
      <c r="R28" s="119">
        <v>407.88782471834764</v>
      </c>
      <c r="S28" s="119">
        <v>40.433944117680902</v>
      </c>
      <c r="T28" s="119">
        <v>-1.2178705575535111</v>
      </c>
      <c r="U28" s="119">
        <v>6328.4039370131322</v>
      </c>
      <c r="V28" s="119">
        <v>768.76562708481049</v>
      </c>
      <c r="W28" s="119">
        <v>2917.3749785481859</v>
      </c>
      <c r="X28" s="118">
        <f t="shared" si="0"/>
        <v>17274.22430396223</v>
      </c>
      <c r="Y28" s="118">
        <v>333.37826101697954</v>
      </c>
      <c r="Z28" s="124">
        <f t="shared" si="1"/>
        <v>1784.1421211554439</v>
      </c>
      <c r="AA28" s="114">
        <f t="shared" si="2"/>
        <v>1429.9031041379997</v>
      </c>
      <c r="AB28" s="114">
        <f t="shared" si="3"/>
        <v>694.22508929217213</v>
      </c>
      <c r="AC28" s="142">
        <v>674.57627118644064</v>
      </c>
      <c r="AD28" s="144">
        <v>0.30696989843712735</v>
      </c>
      <c r="AE28" s="114">
        <f t="shared" ref="AE28" si="8">SUM(AE19:AE24)</f>
        <v>32097.531988401985</v>
      </c>
      <c r="AF28" s="144">
        <f t="shared" si="4"/>
        <v>0.52235885319962683</v>
      </c>
      <c r="AG28" s="144"/>
      <c r="AH28" s="119">
        <f>AI28/J28*1000</f>
        <v>118.91682280135231</v>
      </c>
      <c r="AI28" s="119">
        <f>SUM(AI19:AI24)</f>
        <v>1993.8105853212769</v>
      </c>
      <c r="AJ28" t="s">
        <v>451</v>
      </c>
    </row>
    <row r="29" spans="1:36">
      <c r="A29" t="s">
        <v>452</v>
      </c>
      <c r="B29" s="253">
        <f>D29</f>
        <v>1.2</v>
      </c>
      <c r="C29" s="123">
        <f>K29*L29</f>
        <v>1.2000000000000002</v>
      </c>
      <c r="D29" s="253">
        <f>H29*E29/1000000</f>
        <v>1.2</v>
      </c>
      <c r="E29" s="114">
        <v>1000</v>
      </c>
      <c r="F29" s="114">
        <v>1000</v>
      </c>
      <c r="H29" s="116">
        <f>M29-K29*(1-L29)*1000000/E29</f>
        <v>1200</v>
      </c>
      <c r="I29" s="115">
        <v>0.8</v>
      </c>
      <c r="J29" s="252">
        <f>I29*E29/1000</f>
        <v>0.8</v>
      </c>
      <c r="K29" s="116">
        <f>M29*E29/1000000</f>
        <v>12</v>
      </c>
      <c r="L29" s="251">
        <v>0.1</v>
      </c>
      <c r="M29" s="116">
        <v>12000</v>
      </c>
      <c r="N29" s="251">
        <v>0</v>
      </c>
      <c r="O29" s="115">
        <f>O28/F28*F29</f>
        <v>0.66162142232516696</v>
      </c>
      <c r="P29" s="118">
        <f>$O$29/$O$28*P28</f>
        <v>0.52593256434315261</v>
      </c>
      <c r="Q29" s="118">
        <f t="shared" ref="Q29:T29" si="9">$O$29/$O$28*Q28</f>
        <v>9.851541072098137E-2</v>
      </c>
      <c r="R29" s="118">
        <f t="shared" si="9"/>
        <v>3.717344726103284E-2</v>
      </c>
      <c r="S29" s="118">
        <f t="shared" si="9"/>
        <v>3.6850060191231516E-3</v>
      </c>
      <c r="T29" s="118">
        <f t="shared" si="9"/>
        <v>-1.1099239594425595E-4</v>
      </c>
      <c r="U29" s="254">
        <f>U28/$B$28*$B$29</f>
        <v>0.14655956266937156</v>
      </c>
      <c r="V29" s="254">
        <f>V28/$B$28*$B$29</f>
        <v>1.7803849947349088E-2</v>
      </c>
      <c r="W29" s="115">
        <f>W28/E28*E29</f>
        <v>0.30131666064095808</v>
      </c>
      <c r="X29" s="118">
        <f t="shared" si="0"/>
        <v>1.1273014955828455</v>
      </c>
      <c r="Y29" s="124">
        <f>X29/B29*1000</f>
        <v>939.41791298570467</v>
      </c>
      <c r="Z29" s="124">
        <f>Y29*H29/1000</f>
        <v>1127.3014955828455</v>
      </c>
      <c r="AA29" s="114">
        <f>K29*1000000/F29*L29</f>
        <v>1200</v>
      </c>
      <c r="AB29" s="114">
        <f t="shared" si="3"/>
        <v>10800</v>
      </c>
      <c r="AC29" s="116">
        <f>AC28</f>
        <v>674.57627118644064</v>
      </c>
      <c r="AD29" s="251">
        <v>1</v>
      </c>
      <c r="AE29">
        <v>0.8</v>
      </c>
      <c r="AF29" s="251">
        <v>1</v>
      </c>
      <c r="AH29" s="119">
        <f>AH20</f>
        <v>105.11960507399111</v>
      </c>
      <c r="AI29" s="119">
        <f t="shared" ref="AI29" si="10">AH29*J29/1000</f>
        <v>8.4095684059192891E-2</v>
      </c>
      <c r="AJ29" t="s">
        <v>428</v>
      </c>
    </row>
    <row r="30" spans="1:36">
      <c r="A30" s="156" t="s">
        <v>453</v>
      </c>
    </row>
    <row r="31" spans="1:36">
      <c r="AG31" s="112" t="s">
        <v>454</v>
      </c>
    </row>
    <row r="32" spans="1:36">
      <c r="A32" s="112" t="s">
        <v>455</v>
      </c>
      <c r="B32" s="143" t="s">
        <v>456</v>
      </c>
      <c r="C32" s="112" t="s">
        <v>457</v>
      </c>
      <c r="D32" s="112" t="s">
        <v>193</v>
      </c>
      <c r="E32" s="112" t="s">
        <v>294</v>
      </c>
      <c r="F32" s="112" t="s">
        <v>195</v>
      </c>
      <c r="G32" s="112" t="s">
        <v>458</v>
      </c>
      <c r="H32" s="112" t="s">
        <v>459</v>
      </c>
      <c r="I32" s="112" t="s">
        <v>460</v>
      </c>
      <c r="AH32" t="s">
        <v>461</v>
      </c>
    </row>
    <row r="33" spans="1:35">
      <c r="A33" s="15" t="s">
        <v>250</v>
      </c>
      <c r="B33" s="151" t="s">
        <v>251</v>
      </c>
      <c r="C33" s="151" t="s">
        <v>462</v>
      </c>
      <c r="D33" s="151">
        <v>30</v>
      </c>
      <c r="E33" s="151">
        <v>50</v>
      </c>
      <c r="F33" s="151"/>
      <c r="G33" s="151"/>
      <c r="H33" s="151"/>
      <c r="I33" s="153">
        <f>E33+D33+AH28</f>
        <v>198.91682280135231</v>
      </c>
      <c r="AH33" s="150">
        <v>1.0249999999999999</v>
      </c>
      <c r="AI33" s="151"/>
    </row>
    <row r="34" spans="1:35">
      <c r="A34" s="15" t="s">
        <v>276</v>
      </c>
      <c r="B34" s="16" t="s">
        <v>132</v>
      </c>
      <c r="C34" s="151">
        <v>15</v>
      </c>
      <c r="D34" s="151"/>
      <c r="E34" s="151">
        <v>450</v>
      </c>
      <c r="F34" s="151">
        <v>5</v>
      </c>
      <c r="G34" s="151">
        <v>10</v>
      </c>
      <c r="H34" s="152" t="s">
        <v>463</v>
      </c>
      <c r="I34" s="151">
        <f>SUM(C34:G34)</f>
        <v>480</v>
      </c>
    </row>
    <row r="35" spans="1:35">
      <c r="A35" s="15" t="s">
        <v>278</v>
      </c>
      <c r="B35" s="16" t="s">
        <v>132</v>
      </c>
      <c r="C35" s="151">
        <v>15</v>
      </c>
      <c r="D35" s="151"/>
      <c r="E35" s="151">
        <v>450</v>
      </c>
      <c r="F35" s="151">
        <v>5</v>
      </c>
      <c r="G35" s="151">
        <v>10</v>
      </c>
      <c r="H35" s="152" t="s">
        <v>463</v>
      </c>
      <c r="I35" s="151">
        <f t="shared" ref="I35:I39" si="11">SUM(C35:G35)</f>
        <v>480</v>
      </c>
    </row>
    <row r="36" spans="1:35">
      <c r="A36" s="15" t="s">
        <v>279</v>
      </c>
      <c r="B36" s="16" t="s">
        <v>132</v>
      </c>
      <c r="C36" s="151">
        <v>15</v>
      </c>
      <c r="D36" s="151"/>
      <c r="E36" s="151">
        <v>190</v>
      </c>
      <c r="F36" s="151">
        <v>5</v>
      </c>
      <c r="G36" s="151">
        <v>10</v>
      </c>
      <c r="H36" s="152" t="s">
        <v>463</v>
      </c>
      <c r="I36" s="151">
        <f t="shared" si="11"/>
        <v>220</v>
      </c>
    </row>
    <row r="37" spans="1:35">
      <c r="A37" s="15" t="s">
        <v>280</v>
      </c>
      <c r="B37" s="16" t="s">
        <v>132</v>
      </c>
      <c r="C37" s="151">
        <v>15</v>
      </c>
      <c r="D37" s="151"/>
      <c r="E37" s="151">
        <v>65</v>
      </c>
      <c r="F37" s="151">
        <v>5</v>
      </c>
      <c r="G37" s="151">
        <v>10</v>
      </c>
      <c r="H37" s="152" t="s">
        <v>463</v>
      </c>
      <c r="I37" s="151">
        <f t="shared" si="11"/>
        <v>95</v>
      </c>
    </row>
    <row r="38" spans="1:35">
      <c r="A38" s="15" t="s">
        <v>281</v>
      </c>
      <c r="B38" s="16" t="s">
        <v>132</v>
      </c>
      <c r="C38" s="151">
        <v>15</v>
      </c>
      <c r="D38" s="151"/>
      <c r="E38" s="151">
        <v>0</v>
      </c>
      <c r="F38" s="151">
        <v>5</v>
      </c>
      <c r="G38" s="151">
        <v>30</v>
      </c>
      <c r="H38" s="152" t="s">
        <v>463</v>
      </c>
      <c r="I38" s="151">
        <f t="shared" si="11"/>
        <v>50</v>
      </c>
    </row>
    <row r="39" spans="1:35">
      <c r="A39" s="15" t="s">
        <v>282</v>
      </c>
      <c r="B39" s="16" t="s">
        <v>132</v>
      </c>
      <c r="C39" s="151">
        <v>15</v>
      </c>
      <c r="D39" s="151"/>
      <c r="E39" s="151">
        <v>0</v>
      </c>
      <c r="F39" s="151">
        <v>5</v>
      </c>
      <c r="G39" s="151">
        <v>30</v>
      </c>
      <c r="H39" s="152" t="s">
        <v>463</v>
      </c>
      <c r="I39" s="151">
        <f t="shared" si="11"/>
        <v>50</v>
      </c>
    </row>
    <row r="40" spans="1:35">
      <c r="A40" s="15" t="s">
        <v>201</v>
      </c>
      <c r="B40" s="16" t="s">
        <v>285</v>
      </c>
      <c r="C40" s="151"/>
      <c r="D40" s="151"/>
      <c r="E40" s="151"/>
      <c r="F40" s="151" t="s">
        <v>463</v>
      </c>
      <c r="G40" s="151"/>
      <c r="H40" s="151"/>
      <c r="I40" s="118">
        <f>AVERAGE(F45:F52)</f>
        <v>245.15444630655099</v>
      </c>
    </row>
    <row r="41" spans="1:35">
      <c r="A41" s="141" t="s">
        <v>464</v>
      </c>
      <c r="B41" s="36" t="s">
        <v>465</v>
      </c>
      <c r="G41" s="151">
        <v>70</v>
      </c>
    </row>
    <row r="42" spans="1:35">
      <c r="A42" s="15" t="s">
        <v>466</v>
      </c>
      <c r="B42" s="152" t="s">
        <v>467</v>
      </c>
    </row>
    <row r="43" spans="1:35">
      <c r="D43" t="s">
        <v>468</v>
      </c>
      <c r="G43" t="s">
        <v>469</v>
      </c>
      <c r="J43" s="141" t="s">
        <v>470</v>
      </c>
      <c r="K43" s="141"/>
    </row>
    <row r="44" spans="1:35">
      <c r="E44" t="s">
        <v>471</v>
      </c>
      <c r="F44" t="s">
        <v>472</v>
      </c>
      <c r="G44" t="s">
        <v>471</v>
      </c>
      <c r="H44" s="151" t="s">
        <v>132</v>
      </c>
      <c r="I44" t="s">
        <v>473</v>
      </c>
      <c r="J44" t="s">
        <v>474</v>
      </c>
      <c r="K44" s="141"/>
      <c r="L44" t="s">
        <v>475</v>
      </c>
    </row>
    <row r="45" spans="1:35">
      <c r="D45" t="s">
        <v>426</v>
      </c>
      <c r="E45" s="154">
        <v>5.5</v>
      </c>
      <c r="F45" s="119">
        <f>(E45*10-AVERAGE($F$34:$F$39))*B19*1000/E19-30</f>
        <v>247.76100894529623</v>
      </c>
      <c r="G45">
        <v>1.2</v>
      </c>
      <c r="H45" s="151">
        <f>G45/100*1000-10</f>
        <v>2</v>
      </c>
      <c r="I45" s="251">
        <v>0.25</v>
      </c>
      <c r="J45" s="295">
        <v>0.39100000000000001</v>
      </c>
      <c r="L45">
        <f>E45*B19</f>
        <v>104544.86903111861</v>
      </c>
      <c r="M45" s="115">
        <f>G45*B19</f>
        <v>22809.789606789516</v>
      </c>
    </row>
    <row r="46" spans="1:35">
      <c r="D46" t="s">
        <v>428</v>
      </c>
      <c r="E46" s="154">
        <v>6</v>
      </c>
      <c r="F46" s="119">
        <f t="shared" ref="F46:F55" si="12">(E46*10-AVERAGE($F$34:$F$39))*B20*1000/E20-30</f>
        <v>219.73587184006942</v>
      </c>
      <c r="G46">
        <v>2.5</v>
      </c>
      <c r="H46" s="151">
        <f>G46/100*1000-10</f>
        <v>15</v>
      </c>
      <c r="I46" s="251">
        <v>0.25</v>
      </c>
      <c r="J46" s="295">
        <v>0.61599999999999999</v>
      </c>
      <c r="L46">
        <f t="shared" ref="L46:L52" si="13">E46*B20</f>
        <v>77267.783816226001</v>
      </c>
      <c r="M46" s="115">
        <f t="shared" ref="M46:M52" si="14">G46*B20</f>
        <v>32194.909923427505</v>
      </c>
    </row>
    <row r="47" spans="1:35">
      <c r="D47" t="s">
        <v>432</v>
      </c>
      <c r="E47" s="154">
        <v>5.5</v>
      </c>
      <c r="F47" s="119">
        <f t="shared" si="12"/>
        <v>276.64732589189816</v>
      </c>
      <c r="G47" s="155">
        <v>1</v>
      </c>
      <c r="H47" s="151">
        <f t="shared" ref="H47:H49" si="15">G47/100*1000-10</f>
        <v>0</v>
      </c>
      <c r="I47" s="251">
        <v>0.44</v>
      </c>
      <c r="J47" s="295">
        <v>0.22700000000000001</v>
      </c>
      <c r="L47">
        <f t="shared" si="13"/>
        <v>71761.69</v>
      </c>
      <c r="M47" s="115">
        <f t="shared" si="14"/>
        <v>13047.58</v>
      </c>
    </row>
    <row r="48" spans="1:35">
      <c r="D48" t="s">
        <v>440</v>
      </c>
      <c r="E48" s="154">
        <v>6.5</v>
      </c>
      <c r="F48" s="119">
        <f t="shared" si="12"/>
        <v>230.13554453257865</v>
      </c>
      <c r="G48">
        <v>1.3</v>
      </c>
      <c r="H48" s="151">
        <f t="shared" si="15"/>
        <v>3.0000000000000018</v>
      </c>
      <c r="I48" s="251">
        <v>0.44</v>
      </c>
      <c r="J48" s="295">
        <v>0.52300000000000002</v>
      </c>
      <c r="L48">
        <f t="shared" si="13"/>
        <v>23381.193018819999</v>
      </c>
      <c r="M48" s="115">
        <f t="shared" si="14"/>
        <v>4676.2386037639999</v>
      </c>
      <c r="Y48" s="119" t="str">
        <f>VLOOKUP($B$55,Jurisdata3,36,FALSE)</f>
        <v>NEM</v>
      </c>
    </row>
    <row r="49" spans="1:35">
      <c r="D49" t="s">
        <v>442</v>
      </c>
      <c r="E49" s="154">
        <v>4.5</v>
      </c>
      <c r="F49" s="119">
        <f t="shared" si="12"/>
        <v>284.17773322142511</v>
      </c>
      <c r="G49">
        <v>1.3</v>
      </c>
      <c r="H49" s="151">
        <f t="shared" si="15"/>
        <v>3.0000000000000018</v>
      </c>
      <c r="I49" s="251">
        <v>0.21</v>
      </c>
      <c r="J49" s="295">
        <v>7.3999999999999996E-2</v>
      </c>
      <c r="L49">
        <f t="shared" si="13"/>
        <v>9278.4619886539513</v>
      </c>
      <c r="M49" s="115">
        <f t="shared" si="14"/>
        <v>2680.4445745000303</v>
      </c>
      <c r="Q49" s="112"/>
      <c r="T49" s="112" t="s">
        <v>457</v>
      </c>
      <c r="U49" s="112" t="s">
        <v>193</v>
      </c>
      <c r="V49" s="112" t="s">
        <v>294</v>
      </c>
      <c r="W49" s="112" t="s">
        <v>195</v>
      </c>
      <c r="X49" s="112" t="s">
        <v>458</v>
      </c>
      <c r="Y49" s="112" t="s">
        <v>459</v>
      </c>
      <c r="Z49" s="112" t="s">
        <v>476</v>
      </c>
    </row>
    <row r="50" spans="1:35">
      <c r="D50" t="s">
        <v>436</v>
      </c>
      <c r="E50" s="154">
        <v>4.5</v>
      </c>
      <c r="F50" s="119">
        <f t="shared" si="12"/>
        <v>209.06679893856688</v>
      </c>
      <c r="G50">
        <v>1.2</v>
      </c>
      <c r="H50" s="151">
        <f>G50/100*1000-10</f>
        <v>2</v>
      </c>
      <c r="I50" s="251">
        <v>0.28999999999999998</v>
      </c>
      <c r="J50" s="295">
        <v>0.44400000000000001</v>
      </c>
      <c r="L50">
        <f t="shared" si="13"/>
        <v>5503.5</v>
      </c>
      <c r="M50" s="115">
        <f t="shared" si="14"/>
        <v>1467.6</v>
      </c>
      <c r="Q50" s="233"/>
      <c r="R50" s="234"/>
      <c r="S50" s="235"/>
    </row>
    <row r="51" spans="1:35">
      <c r="D51" t="s">
        <v>445</v>
      </c>
      <c r="E51" s="154">
        <v>5</v>
      </c>
      <c r="F51" s="119">
        <f t="shared" si="12"/>
        <v>389.74630272167178</v>
      </c>
      <c r="H51" s="151">
        <v>0</v>
      </c>
      <c r="I51" s="251">
        <v>0.28999999999999998</v>
      </c>
      <c r="J51" s="295">
        <v>9.8000000000000004E-2</v>
      </c>
      <c r="L51">
        <f t="shared" si="13"/>
        <v>3535.1499999999996</v>
      </c>
      <c r="M51" s="115">
        <f t="shared" si="14"/>
        <v>0</v>
      </c>
      <c r="Q51" s="233"/>
      <c r="R51" s="236"/>
      <c r="S51" s="235"/>
    </row>
    <row r="52" spans="1:35">
      <c r="D52" t="s">
        <v>447</v>
      </c>
      <c r="E52" s="154">
        <v>3</v>
      </c>
      <c r="F52" s="119">
        <f t="shared" si="12"/>
        <v>103.96498436090175</v>
      </c>
      <c r="H52">
        <v>0</v>
      </c>
      <c r="I52" s="251">
        <v>0.45</v>
      </c>
      <c r="J52" s="295">
        <v>0.56399999999999995</v>
      </c>
      <c r="L52">
        <f t="shared" si="13"/>
        <v>18385.408039683898</v>
      </c>
      <c r="M52" s="115">
        <f t="shared" si="14"/>
        <v>0</v>
      </c>
      <c r="Q52" s="233"/>
      <c r="R52" s="234"/>
      <c r="S52" s="235"/>
    </row>
    <row r="53" spans="1:35">
      <c r="D53" s="121" t="s">
        <v>450</v>
      </c>
      <c r="E53" s="115">
        <f>L53/B27</f>
        <v>5.3478550827091009</v>
      </c>
      <c r="F53" s="119">
        <f t="shared" si="12"/>
        <v>230.8181691099785</v>
      </c>
      <c r="G53" s="115">
        <f>M53/B27</f>
        <v>1.3107417740293441</v>
      </c>
      <c r="H53" s="411">
        <f>G53/100*1000-10</f>
        <v>3.1074177402934406</v>
      </c>
      <c r="I53" s="251">
        <v>0.32</v>
      </c>
      <c r="J53" s="295">
        <v>0.4334835541459921</v>
      </c>
      <c r="L53">
        <f>SUM(L45:L52)</f>
        <v>313658.05589450244</v>
      </c>
      <c r="M53">
        <f>SUM(M45:M52)</f>
        <v>76876.562708481055</v>
      </c>
      <c r="Q53" s="233"/>
      <c r="R53" s="237"/>
      <c r="S53" s="235"/>
    </row>
    <row r="54" spans="1:35">
      <c r="D54" s="121" t="s">
        <v>451</v>
      </c>
      <c r="E54" s="115">
        <f>L54/B28</f>
        <v>5.6302927411898711</v>
      </c>
      <c r="F54" s="119">
        <f t="shared" si="12"/>
        <v>244.55813541929433</v>
      </c>
      <c r="G54" s="115">
        <f t="shared" ref="G54" si="16">M54/B28</f>
        <v>1.4836541622790909</v>
      </c>
      <c r="H54" s="411">
        <f t="shared" ref="H54:H55" si="17">G54/100*1000-10</f>
        <v>4.836541622790909</v>
      </c>
      <c r="I54" s="251">
        <v>0.31</v>
      </c>
      <c r="J54" s="295">
        <v>0.42102336881073577</v>
      </c>
      <c r="L54">
        <f>SUM(L45:L50)</f>
        <v>291737.49785481853</v>
      </c>
      <c r="M54">
        <f>SUM(M45:M50)</f>
        <v>76876.562708481055</v>
      </c>
      <c r="Q54" s="233"/>
      <c r="R54" s="238"/>
      <c r="S54" s="235"/>
    </row>
    <row r="55" spans="1:35">
      <c r="A55" s="156" t="s">
        <v>477</v>
      </c>
      <c r="B55" s="157" t="str">
        <f>'1. Choose State'!K4</f>
        <v>NEM</v>
      </c>
      <c r="C55" s="112" t="s">
        <v>478</v>
      </c>
      <c r="D55" t="s">
        <v>479</v>
      </c>
      <c r="E55" s="154">
        <v>10</v>
      </c>
      <c r="F55" s="119">
        <f t="shared" si="12"/>
        <v>84</v>
      </c>
      <c r="G55" s="115">
        <f>MAX(G45:G54)</f>
        <v>2.5</v>
      </c>
      <c r="H55" s="411">
        <f t="shared" si="17"/>
        <v>15</v>
      </c>
      <c r="K55" s="164" t="s">
        <v>480</v>
      </c>
      <c r="O55" s="119" t="str">
        <f>VLOOKUP($B$55,Jurisdata3,36,FALSE)</f>
        <v>NEM</v>
      </c>
      <c r="S55" s="231" t="s">
        <v>481</v>
      </c>
    </row>
    <row r="56" spans="1:35">
      <c r="A56" s="112" t="s">
        <v>482</v>
      </c>
      <c r="C56" s="112" t="s">
        <v>457</v>
      </c>
      <c r="D56" s="112" t="s">
        <v>193</v>
      </c>
      <c r="E56" s="112" t="s">
        <v>294</v>
      </c>
      <c r="F56" s="112" t="s">
        <v>195</v>
      </c>
      <c r="G56" s="112" t="s">
        <v>458</v>
      </c>
      <c r="H56" s="112" t="s">
        <v>459</v>
      </c>
      <c r="I56" s="158" t="s">
        <v>483</v>
      </c>
      <c r="J56" s="112" t="s">
        <v>457</v>
      </c>
      <c r="K56" s="112" t="s">
        <v>193</v>
      </c>
      <c r="L56" s="112" t="s">
        <v>294</v>
      </c>
      <c r="M56" s="112" t="s">
        <v>195</v>
      </c>
      <c r="N56" s="112" t="s">
        <v>458</v>
      </c>
      <c r="O56" s="112" t="s">
        <v>459</v>
      </c>
      <c r="P56" s="112" t="s">
        <v>476</v>
      </c>
      <c r="S56" s="112" t="s">
        <v>484</v>
      </c>
      <c r="T56" s="122">
        <f>T57/B57</f>
        <v>1</v>
      </c>
      <c r="U56" s="112" t="s">
        <v>457</v>
      </c>
      <c r="V56" s="112" t="s">
        <v>193</v>
      </c>
      <c r="W56" s="112" t="s">
        <v>294</v>
      </c>
      <c r="X56" s="112" t="s">
        <v>195</v>
      </c>
      <c r="Y56" s="112" t="s">
        <v>458</v>
      </c>
      <c r="Z56" s="112" t="s">
        <v>459</v>
      </c>
      <c r="AA56" s="158" t="s">
        <v>483</v>
      </c>
      <c r="AB56" s="112" t="s">
        <v>457</v>
      </c>
      <c r="AC56" s="112" t="s">
        <v>193</v>
      </c>
      <c r="AD56" s="112" t="s">
        <v>294</v>
      </c>
      <c r="AE56" s="112" t="s">
        <v>195</v>
      </c>
      <c r="AF56" s="112" t="s">
        <v>458</v>
      </c>
      <c r="AG56" s="112" t="s">
        <v>459</v>
      </c>
      <c r="AH56" s="112" t="s">
        <v>476</v>
      </c>
    </row>
    <row r="57" spans="1:35">
      <c r="A57" t="s">
        <v>485</v>
      </c>
      <c r="B57" s="119">
        <f>VLOOKUP($B$55,Jurisdata3,24,FALSE)</f>
        <v>17274.22430396223</v>
      </c>
      <c r="C57" s="119">
        <f>B57-SUM(D57:H57)</f>
        <v>5770.825829310259</v>
      </c>
      <c r="D57" s="119">
        <f>VLOOKUP($B$55,Jurisdata3,17,FALSE)</f>
        <v>1080.9661072874953</v>
      </c>
      <c r="E57" s="119">
        <f>VLOOKUP($B$55,Jurisdata3,21,FALSE)</f>
        <v>6328.4039370131322</v>
      </c>
      <c r="F57" s="119">
        <f>VLOOKUP($B$55,Jurisdata3,23,FALSE)</f>
        <v>2917.3749785481859</v>
      </c>
      <c r="G57" s="119">
        <f>VLOOKUP($B$55,Jurisdata3,22,FALSE)</f>
        <v>768.76562708481049</v>
      </c>
      <c r="H57" s="119">
        <f>VLOOKUP($B$55,Jurisdata3,18,FALSE)</f>
        <v>407.88782471834764</v>
      </c>
      <c r="I57" s="159"/>
      <c r="S57" t="s">
        <v>485</v>
      </c>
      <c r="T57" s="119">
        <f>'1. Choose State'!G6</f>
        <v>17274.22430396223</v>
      </c>
      <c r="U57" s="119">
        <f>C57*$T$56</f>
        <v>5770.825829310259</v>
      </c>
      <c r="V57" s="119">
        <f t="shared" ref="V57:Z57" si="18">D57*$T$56</f>
        <v>1080.9661072874953</v>
      </c>
      <c r="W57" s="119">
        <f t="shared" si="18"/>
        <v>6328.4039370131322</v>
      </c>
      <c r="X57" s="119">
        <f t="shared" si="18"/>
        <v>2917.3749785481859</v>
      </c>
      <c r="Y57" s="119">
        <f t="shared" si="18"/>
        <v>768.76562708481049</v>
      </c>
      <c r="Z57" s="119">
        <f t="shared" si="18"/>
        <v>407.88782471834764</v>
      </c>
      <c r="AA57" s="159"/>
    </row>
    <row r="58" spans="1:35">
      <c r="A58" t="s">
        <v>486</v>
      </c>
      <c r="B58" s="114">
        <f>VLOOKUP($B$55,Jurisdata3,5,FALSE)</f>
        <v>9682089.8397797588</v>
      </c>
      <c r="I58" s="159"/>
      <c r="S58" t="s">
        <v>486</v>
      </c>
      <c r="T58" s="114">
        <f>VLOOKUP($B$55,Jurisdata3,5,FALSE)</f>
        <v>9682089.8397797588</v>
      </c>
      <c r="AA58" s="159"/>
    </row>
    <row r="59" spans="1:35">
      <c r="A59" t="s">
        <v>487</v>
      </c>
      <c r="B59" s="114">
        <f>VLOOKUP($B$55,Jurisdata3,10,FALSE)</f>
        <v>16766.429999999997</v>
      </c>
      <c r="I59" s="159"/>
      <c r="S59" t="s">
        <v>487</v>
      </c>
      <c r="T59" s="114">
        <f>'1. Choose State'!F12*Lookups!T58/1000</f>
        <v>16766.429999999997</v>
      </c>
      <c r="AA59" s="159"/>
    </row>
    <row r="60" spans="1:35">
      <c r="A60" t="s">
        <v>406</v>
      </c>
      <c r="B60" s="114">
        <f>VLOOKUP($B$55,Jurisdata3,2,FALSE)</f>
        <v>51815.689035232033</v>
      </c>
      <c r="I60" s="159"/>
      <c r="S60" t="s">
        <v>406</v>
      </c>
      <c r="T60" s="114">
        <f>'1. Choose State'!F10*Lookups!T58/1000000</f>
        <v>51815.689035232033</v>
      </c>
      <c r="AA60" s="159"/>
    </row>
    <row r="61" spans="1:35">
      <c r="B61" s="114"/>
      <c r="I61" s="159"/>
      <c r="T61" s="114"/>
      <c r="AA61" s="159"/>
      <c r="AI61" s="112" t="s">
        <v>488</v>
      </c>
    </row>
    <row r="62" spans="1:35">
      <c r="A62" s="15" t="s">
        <v>250</v>
      </c>
      <c r="B62" t="s">
        <v>489</v>
      </c>
      <c r="C62" s="119">
        <f>VLOOKUP($B$55,Jurisdata3,35,FALSE)</f>
        <v>1993.8105853212769</v>
      </c>
      <c r="D62" s="119">
        <f>K62*$B$59/1000</f>
        <v>502.99289999999991</v>
      </c>
      <c r="E62" s="119">
        <f>L62*$B$59/1000</f>
        <v>838.3214999999999</v>
      </c>
      <c r="I62" s="160" t="s">
        <v>251</v>
      </c>
      <c r="J62" s="165">
        <f>VLOOKUP($B$55,Jurisdata3,34,FALSE)</f>
        <v>118.91682280135231</v>
      </c>
      <c r="K62" s="119">
        <f>D33</f>
        <v>30</v>
      </c>
      <c r="L62" s="119">
        <f t="shared" ref="L62:N62" si="19">E33</f>
        <v>50</v>
      </c>
      <c r="M62" s="119">
        <f t="shared" si="19"/>
        <v>0</v>
      </c>
      <c r="N62" s="119">
        <f t="shared" si="19"/>
        <v>0</v>
      </c>
      <c r="O62" s="119"/>
      <c r="P62" s="118">
        <f>SUM(J62:O62)</f>
        <v>198.91682280135231</v>
      </c>
      <c r="S62" s="15" t="s">
        <v>250</v>
      </c>
      <c r="T62" t="s">
        <v>489</v>
      </c>
      <c r="U62" s="119">
        <f>AB62*$T$59/1000</f>
        <v>1993.8105853212769</v>
      </c>
      <c r="V62" s="119">
        <f t="shared" ref="V62:Z62" si="20">AC62*$T$59/1000</f>
        <v>502.99289999999991</v>
      </c>
      <c r="W62" s="119">
        <f t="shared" si="20"/>
        <v>838.3214999999999</v>
      </c>
      <c r="X62" s="119">
        <f t="shared" si="20"/>
        <v>0</v>
      </c>
      <c r="Y62" s="119">
        <f t="shared" si="20"/>
        <v>0</v>
      </c>
      <c r="Z62" s="119">
        <f t="shared" si="20"/>
        <v>0</v>
      </c>
      <c r="AA62" s="160" t="s">
        <v>251</v>
      </c>
      <c r="AB62" s="165">
        <f>J62*$AI62</f>
        <v>118.91682280135231</v>
      </c>
      <c r="AC62" s="165">
        <f t="shared" ref="AC62:AG62" si="21">K62*$AI62</f>
        <v>30</v>
      </c>
      <c r="AD62" s="165">
        <f t="shared" si="21"/>
        <v>50</v>
      </c>
      <c r="AE62" s="165">
        <f t="shared" si="21"/>
        <v>0</v>
      </c>
      <c r="AF62" s="165">
        <f t="shared" si="21"/>
        <v>0</v>
      </c>
      <c r="AG62" s="165">
        <f t="shared" si="21"/>
        <v>0</v>
      </c>
      <c r="AH62" s="118">
        <f>'3. Charges'!B5</f>
        <v>198.91682280135231</v>
      </c>
      <c r="AI62" s="122">
        <f>AH62/P62</f>
        <v>1</v>
      </c>
    </row>
    <row r="63" spans="1:35">
      <c r="A63" s="15" t="s">
        <v>276</v>
      </c>
      <c r="B63" s="122">
        <f>'2. Check Reference Home'!E16*$B$58/1000000</f>
        <v>159.28108499999996</v>
      </c>
      <c r="C63" s="119">
        <f>$B63*J63/1000</f>
        <v>2.3892162749999994</v>
      </c>
      <c r="D63" s="119">
        <f t="shared" ref="D63:G63" si="22">$B63*K63/1000</f>
        <v>0</v>
      </c>
      <c r="E63" s="119">
        <f t="shared" si="22"/>
        <v>71.676488249999977</v>
      </c>
      <c r="F63" s="119">
        <f t="shared" si="22"/>
        <v>0.79640542499999978</v>
      </c>
      <c r="G63" s="119">
        <f t="shared" si="22"/>
        <v>1.5928108499999996</v>
      </c>
      <c r="H63" s="119">
        <f>$B63*O63/1000</f>
        <v>0.77036959732579657</v>
      </c>
      <c r="I63" s="161" t="s">
        <v>132</v>
      </c>
      <c r="J63" s="119">
        <f t="shared" ref="J63:K71" si="23">C34</f>
        <v>15</v>
      </c>
      <c r="K63" s="119">
        <f t="shared" si="23"/>
        <v>0</v>
      </c>
      <c r="L63" s="119">
        <f t="shared" ref="L63:L71" si="24">E34</f>
        <v>450</v>
      </c>
      <c r="M63" s="119">
        <f t="shared" ref="M63:M71" si="25">F34</f>
        <v>5</v>
      </c>
      <c r="N63" s="119">
        <f t="shared" ref="N63:N71" si="26">G34</f>
        <v>10</v>
      </c>
      <c r="O63" s="165">
        <f t="shared" ref="O63:O68" si="27">VLOOKUP($O$55,RetailJO2,5,FALSE)</f>
        <v>4.836541622790909</v>
      </c>
      <c r="P63" s="118">
        <f t="shared" ref="P63:P71" si="28">SUM(J63:O63)</f>
        <v>484.83654162279089</v>
      </c>
      <c r="S63" s="15" t="s">
        <v>276</v>
      </c>
      <c r="T63" s="122">
        <f>'2. Check Reference Home'!B16*$B$58/1000000</f>
        <v>159.28108499999996</v>
      </c>
      <c r="U63" s="119">
        <f>AB63*$T63/1000</f>
        <v>2.7154227248077065</v>
      </c>
      <c r="V63" s="119">
        <f t="shared" ref="V63:Z63" si="29">AC63*$T63/1000</f>
        <v>0</v>
      </c>
      <c r="W63" s="119">
        <f t="shared" si="29"/>
        <v>81.46268174423119</v>
      </c>
      <c r="X63" s="119">
        <f t="shared" si="29"/>
        <v>0.90514090826923543</v>
      </c>
      <c r="Y63" s="119">
        <f t="shared" si="29"/>
        <v>1.8102818165384709</v>
      </c>
      <c r="Z63" s="119">
        <f t="shared" si="29"/>
        <v>0.87555033546698513</v>
      </c>
      <c r="AA63" s="161" t="s">
        <v>132</v>
      </c>
      <c r="AB63" s="165">
        <f t="shared" ref="AB63:AB69" si="30">J63*$AI63</f>
        <v>17.047992389100735</v>
      </c>
      <c r="AC63" s="165">
        <f t="shared" ref="AC63:AC69" si="31">K63*$AI63</f>
        <v>0</v>
      </c>
      <c r="AD63" s="165">
        <f t="shared" ref="AD63:AD69" si="32">L63*$AI63</f>
        <v>511.43977167302199</v>
      </c>
      <c r="AE63" s="165">
        <f t="shared" ref="AE63:AE69" si="33">M63*$AI63</f>
        <v>5.6826641297002443</v>
      </c>
      <c r="AF63" s="165">
        <f t="shared" ref="AF63:AF69" si="34">N63*$AI63</f>
        <v>11.365328259400489</v>
      </c>
      <c r="AG63" s="165">
        <f t="shared" ref="AG63:AG69" si="35">O63*$AI63</f>
        <v>5.4968883183272217</v>
      </c>
      <c r="AH63" s="118">
        <f>'3. Charges'!B18</f>
        <v>551.03264476955064</v>
      </c>
      <c r="AI63" s="122">
        <f t="shared" ref="AI63:AI69" si="36">AH63/P63</f>
        <v>1.1365328259400489</v>
      </c>
    </row>
    <row r="64" spans="1:35">
      <c r="A64" s="15" t="s">
        <v>278</v>
      </c>
      <c r="B64" s="122">
        <f>'2. Check Reference Home'!E17*$B$58/1000000</f>
        <v>1207.1829600000001</v>
      </c>
      <c r="C64" s="119">
        <f t="shared" ref="C64:C68" si="37">$B64*J64/1000</f>
        <v>18.107744400000005</v>
      </c>
      <c r="D64" s="119">
        <f t="shared" ref="D64:D68" si="38">$B64*K64/1000</f>
        <v>0</v>
      </c>
      <c r="E64" s="119">
        <f t="shared" ref="E64:E68" si="39">$B64*L64/1000</f>
        <v>543.23233200000004</v>
      </c>
      <c r="F64" s="119">
        <f t="shared" ref="F64:F68" si="40">$B64*M64/1000</f>
        <v>6.0359148000000005</v>
      </c>
      <c r="G64" s="119">
        <f t="shared" ref="G64:G68" si="41">$B64*N64/1000</f>
        <v>12.071829600000001</v>
      </c>
      <c r="H64" s="119">
        <f t="shared" ref="H64:H68" si="42">$B64*O64/1000</f>
        <v>5.8385906323639336</v>
      </c>
      <c r="I64" s="161" t="s">
        <v>132</v>
      </c>
      <c r="J64" s="119">
        <f t="shared" si="23"/>
        <v>15</v>
      </c>
      <c r="K64" s="119">
        <f t="shared" si="23"/>
        <v>0</v>
      </c>
      <c r="L64" s="119">
        <f t="shared" si="24"/>
        <v>450</v>
      </c>
      <c r="M64" s="119">
        <f t="shared" si="25"/>
        <v>5</v>
      </c>
      <c r="N64" s="119">
        <f t="shared" si="26"/>
        <v>10</v>
      </c>
      <c r="O64" s="165">
        <f t="shared" si="27"/>
        <v>4.836541622790909</v>
      </c>
      <c r="P64" s="118">
        <f t="shared" si="28"/>
        <v>484.83654162279089</v>
      </c>
      <c r="S64" s="15" t="s">
        <v>278</v>
      </c>
      <c r="T64" s="122">
        <f>'2. Check Reference Home'!B17*$B$58/1000000</f>
        <v>1207.1829600000001</v>
      </c>
      <c r="U64" s="119">
        <f t="shared" ref="U64:U68" si="43">AB64*$T64/1000</f>
        <v>20.5800459143321</v>
      </c>
      <c r="V64" s="119">
        <f t="shared" ref="V64:V68" si="44">AC64*$T64/1000</f>
        <v>0</v>
      </c>
      <c r="W64" s="119">
        <f t="shared" ref="W64:W68" si="45">AD64*$T64/1000</f>
        <v>617.40137742996285</v>
      </c>
      <c r="X64" s="119">
        <f t="shared" ref="X64:X68" si="46">AE64*$T64/1000</f>
        <v>6.8600153047773658</v>
      </c>
      <c r="Y64" s="119">
        <f t="shared" ref="Y64:Y68" si="47">AF64*$T64/1000</f>
        <v>13.720030609554732</v>
      </c>
      <c r="Z64" s="119">
        <f t="shared" ref="Z64:Z68" si="48">AG64*$T64/1000</f>
        <v>6.6357499109076779</v>
      </c>
      <c r="AA64" s="161" t="s">
        <v>132</v>
      </c>
      <c r="AB64" s="165">
        <f t="shared" si="30"/>
        <v>17.047992389100735</v>
      </c>
      <c r="AC64" s="165">
        <f t="shared" si="31"/>
        <v>0</v>
      </c>
      <c r="AD64" s="165">
        <f t="shared" si="32"/>
        <v>511.43977167302199</v>
      </c>
      <c r="AE64" s="165">
        <f t="shared" si="33"/>
        <v>5.6826641297002443</v>
      </c>
      <c r="AF64" s="165">
        <f t="shared" si="34"/>
        <v>11.365328259400489</v>
      </c>
      <c r="AG64" s="165">
        <f t="shared" si="35"/>
        <v>5.4968883183272217</v>
      </c>
      <c r="AH64" s="118">
        <f>'3. Charges'!B19</f>
        <v>551.03264476955064</v>
      </c>
      <c r="AI64" s="122">
        <f t="shared" si="36"/>
        <v>1.1365328259400489</v>
      </c>
    </row>
    <row r="65" spans="1:36">
      <c r="A65" s="15" t="s">
        <v>279</v>
      </c>
      <c r="B65" s="122">
        <f>'2. Check Reference Home'!E18*$B$58/1000000</f>
        <v>4359.2718000000004</v>
      </c>
      <c r="C65" s="119">
        <f t="shared" si="37"/>
        <v>65.389077</v>
      </c>
      <c r="D65" s="119">
        <f t="shared" si="38"/>
        <v>0</v>
      </c>
      <c r="E65" s="119">
        <f t="shared" si="39"/>
        <v>828.26164200000017</v>
      </c>
      <c r="F65" s="119">
        <f t="shared" si="40"/>
        <v>21.796359000000002</v>
      </c>
      <c r="G65" s="119">
        <f t="shared" si="41"/>
        <v>43.592718000000005</v>
      </c>
      <c r="H65" s="119">
        <f t="shared" si="42"/>
        <v>21.083799505758648</v>
      </c>
      <c r="I65" s="161" t="s">
        <v>132</v>
      </c>
      <c r="J65" s="119">
        <f t="shared" si="23"/>
        <v>15</v>
      </c>
      <c r="K65" s="119">
        <f t="shared" si="23"/>
        <v>0</v>
      </c>
      <c r="L65" s="119">
        <f t="shared" si="24"/>
        <v>190</v>
      </c>
      <c r="M65" s="119">
        <f t="shared" si="25"/>
        <v>5</v>
      </c>
      <c r="N65" s="119">
        <f t="shared" si="26"/>
        <v>10</v>
      </c>
      <c r="O65" s="165">
        <f t="shared" si="27"/>
        <v>4.836541622790909</v>
      </c>
      <c r="P65" s="118">
        <f t="shared" si="28"/>
        <v>224.83654162279092</v>
      </c>
      <c r="S65" s="15" t="s">
        <v>279</v>
      </c>
      <c r="T65" s="122">
        <f>'2. Check Reference Home'!B18*$B$58/1000000</f>
        <v>4359.2718000000004</v>
      </c>
      <c r="U65" s="119">
        <f t="shared" si="43"/>
        <v>84.640850108240386</v>
      </c>
      <c r="V65" s="119">
        <f t="shared" si="44"/>
        <v>0</v>
      </c>
      <c r="W65" s="119">
        <f t="shared" si="45"/>
        <v>1072.1174347043782</v>
      </c>
      <c r="X65" s="119">
        <f t="shared" si="46"/>
        <v>28.213616702746798</v>
      </c>
      <c r="Y65" s="119">
        <f t="shared" si="47"/>
        <v>56.427233405493595</v>
      </c>
      <c r="Z65" s="119">
        <f t="shared" si="48"/>
        <v>27.291266302460734</v>
      </c>
      <c r="AA65" s="161" t="s">
        <v>132</v>
      </c>
      <c r="AB65" s="165">
        <f t="shared" si="30"/>
        <v>19.41628189098931</v>
      </c>
      <c r="AC65" s="165">
        <f t="shared" si="31"/>
        <v>0</v>
      </c>
      <c r="AD65" s="165">
        <f t="shared" si="32"/>
        <v>245.93957061919795</v>
      </c>
      <c r="AE65" s="165">
        <f t="shared" si="33"/>
        <v>6.4720939636631041</v>
      </c>
      <c r="AF65" s="165">
        <f t="shared" si="34"/>
        <v>12.944187927326208</v>
      </c>
      <c r="AG65" s="165">
        <f t="shared" si="35"/>
        <v>6.2605103683740788</v>
      </c>
      <c r="AH65" s="118">
        <f>'3. Charges'!B20</f>
        <v>291.03264476955064</v>
      </c>
      <c r="AI65" s="122">
        <f t="shared" si="36"/>
        <v>1.2944187927326207</v>
      </c>
    </row>
    <row r="66" spans="1:36">
      <c r="A66" s="15" t="s">
        <v>280</v>
      </c>
      <c r="B66" s="122">
        <f>'2. Check Reference Home'!E20*$B$58/1000000</f>
        <v>31236.476197292624</v>
      </c>
      <c r="C66" s="119">
        <f t="shared" si="37"/>
        <v>468.54714295938936</v>
      </c>
      <c r="D66" s="119">
        <f t="shared" si="38"/>
        <v>0</v>
      </c>
      <c r="E66" s="119">
        <f t="shared" si="39"/>
        <v>2030.3709528240206</v>
      </c>
      <c r="F66" s="119">
        <f t="shared" si="40"/>
        <v>156.18238098646313</v>
      </c>
      <c r="G66" s="119">
        <f t="shared" si="41"/>
        <v>312.36476197292626</v>
      </c>
      <c r="H66" s="119">
        <f t="shared" si="42"/>
        <v>151.07651727752327</v>
      </c>
      <c r="I66" s="161" t="s">
        <v>132</v>
      </c>
      <c r="J66" s="119">
        <f t="shared" si="23"/>
        <v>15</v>
      </c>
      <c r="K66" s="119">
        <f t="shared" si="23"/>
        <v>0</v>
      </c>
      <c r="L66" s="119">
        <f t="shared" si="24"/>
        <v>65</v>
      </c>
      <c r="M66" s="119">
        <f t="shared" si="25"/>
        <v>5</v>
      </c>
      <c r="N66" s="119">
        <f t="shared" si="26"/>
        <v>10</v>
      </c>
      <c r="O66" s="165">
        <f t="shared" si="27"/>
        <v>4.836541622790909</v>
      </c>
      <c r="P66" s="118">
        <f t="shared" si="28"/>
        <v>99.836541622790904</v>
      </c>
      <c r="S66" s="15" t="s">
        <v>280</v>
      </c>
      <c r="T66" s="122">
        <f>'2. Check Reference Home'!B20*$B$58/1000000</f>
        <v>31236.476197292621</v>
      </c>
      <c r="U66" s="119">
        <f t="shared" si="43"/>
        <v>779.21490548712211</v>
      </c>
      <c r="V66" s="119">
        <f t="shared" si="44"/>
        <v>0</v>
      </c>
      <c r="W66" s="119">
        <f t="shared" si="45"/>
        <v>3376.5979237775291</v>
      </c>
      <c r="X66" s="119">
        <f t="shared" si="46"/>
        <v>259.73830182904072</v>
      </c>
      <c r="Y66" s="119">
        <f t="shared" si="47"/>
        <v>519.47660365808144</v>
      </c>
      <c r="Z66" s="119">
        <f t="shared" si="48"/>
        <v>251.24702156583669</v>
      </c>
      <c r="AA66" s="161" t="s">
        <v>132</v>
      </c>
      <c r="AB66" s="165">
        <f t="shared" si="30"/>
        <v>24.945672506896265</v>
      </c>
      <c r="AC66" s="165">
        <f t="shared" si="31"/>
        <v>0</v>
      </c>
      <c r="AD66" s="165">
        <f t="shared" si="32"/>
        <v>108.09791419655048</v>
      </c>
      <c r="AE66" s="165">
        <f t="shared" si="33"/>
        <v>8.3152241689654218</v>
      </c>
      <c r="AF66" s="165">
        <f t="shared" si="34"/>
        <v>16.630448337930844</v>
      </c>
      <c r="AG66" s="165">
        <f t="shared" si="35"/>
        <v>8.0433855592076409</v>
      </c>
      <c r="AH66" s="118">
        <f>'3. Charges'!B21</f>
        <v>166.03264476955064</v>
      </c>
      <c r="AI66" s="122">
        <f t="shared" si="36"/>
        <v>1.6630448337930843</v>
      </c>
    </row>
    <row r="67" spans="1:36">
      <c r="A67" s="15" t="s">
        <v>281</v>
      </c>
      <c r="B67" s="122">
        <f>'2. Check Reference Home'!E21*$B$58/1000000</f>
        <v>13844.450316444065</v>
      </c>
      <c r="C67" s="119">
        <f t="shared" si="37"/>
        <v>207.66675474666096</v>
      </c>
      <c r="D67" s="119">
        <f t="shared" si="38"/>
        <v>0</v>
      </c>
      <c r="E67" s="119">
        <f t="shared" si="39"/>
        <v>0</v>
      </c>
      <c r="F67" s="119">
        <f t="shared" si="40"/>
        <v>69.222251582220323</v>
      </c>
      <c r="G67" s="119">
        <f t="shared" si="41"/>
        <v>415.33350949332191</v>
      </c>
      <c r="H67" s="119">
        <f t="shared" si="42"/>
        <v>66.959260200142495</v>
      </c>
      <c r="I67" s="161" t="s">
        <v>132</v>
      </c>
      <c r="J67" s="119">
        <f t="shared" si="23"/>
        <v>15</v>
      </c>
      <c r="K67" s="119">
        <f t="shared" si="23"/>
        <v>0</v>
      </c>
      <c r="L67" s="119">
        <f t="shared" si="24"/>
        <v>0</v>
      </c>
      <c r="M67" s="119">
        <f t="shared" si="25"/>
        <v>5</v>
      </c>
      <c r="N67" s="119">
        <f t="shared" si="26"/>
        <v>30</v>
      </c>
      <c r="O67" s="165">
        <f t="shared" si="27"/>
        <v>4.836541622790909</v>
      </c>
      <c r="P67" s="118">
        <f t="shared" si="28"/>
        <v>54.836541622790911</v>
      </c>
      <c r="S67" s="15" t="s">
        <v>281</v>
      </c>
      <c r="T67" s="122">
        <f>'2. Check Reference Home'!B21*$B$58/1000000</f>
        <v>13844.450316444067</v>
      </c>
      <c r="U67" s="119">
        <f t="shared" si="43"/>
        <v>207.66675474666098</v>
      </c>
      <c r="V67" s="119">
        <f t="shared" si="44"/>
        <v>0</v>
      </c>
      <c r="W67" s="119">
        <f t="shared" si="45"/>
        <v>0</v>
      </c>
      <c r="X67" s="119">
        <f t="shared" si="46"/>
        <v>69.222251582220323</v>
      </c>
      <c r="Y67" s="119">
        <f t="shared" si="47"/>
        <v>415.33350949332197</v>
      </c>
      <c r="Z67" s="119">
        <f t="shared" si="48"/>
        <v>66.959260200142495</v>
      </c>
      <c r="AA67" s="161" t="s">
        <v>132</v>
      </c>
      <c r="AB67" s="165">
        <f t="shared" si="30"/>
        <v>15</v>
      </c>
      <c r="AC67" s="165">
        <f t="shared" si="31"/>
        <v>0</v>
      </c>
      <c r="AD67" s="165">
        <f t="shared" si="32"/>
        <v>0</v>
      </c>
      <c r="AE67" s="165">
        <f t="shared" si="33"/>
        <v>5</v>
      </c>
      <c r="AF67" s="165">
        <f t="shared" si="34"/>
        <v>30</v>
      </c>
      <c r="AG67" s="165">
        <f t="shared" si="35"/>
        <v>4.836541622790909</v>
      </c>
      <c r="AH67" s="118">
        <f>'3. Charges'!B22</f>
        <v>54.836541622790911</v>
      </c>
      <c r="AI67" s="122">
        <f t="shared" si="36"/>
        <v>1</v>
      </c>
    </row>
    <row r="68" spans="1:36">
      <c r="A68" s="15" t="s">
        <v>282</v>
      </c>
      <c r="B68" s="122">
        <f>'2. Check Reference Home'!E22*$B$58/1000000</f>
        <v>1009.0266764953479</v>
      </c>
      <c r="C68" s="119">
        <f t="shared" si="37"/>
        <v>15.135400147430218</v>
      </c>
      <c r="D68" s="119">
        <f t="shared" si="38"/>
        <v>0</v>
      </c>
      <c r="E68" s="119">
        <f t="shared" si="39"/>
        <v>0</v>
      </c>
      <c r="F68" s="119">
        <f t="shared" si="40"/>
        <v>5.0451333824767399</v>
      </c>
      <c r="G68" s="119">
        <f t="shared" si="41"/>
        <v>30.270800294860436</v>
      </c>
      <c r="H68" s="119">
        <f t="shared" si="42"/>
        <v>4.8801995193761281</v>
      </c>
      <c r="I68" s="161" t="s">
        <v>132</v>
      </c>
      <c r="J68" s="119">
        <f t="shared" si="23"/>
        <v>15</v>
      </c>
      <c r="K68" s="119">
        <f t="shared" si="23"/>
        <v>0</v>
      </c>
      <c r="L68" s="119">
        <f t="shared" si="24"/>
        <v>0</v>
      </c>
      <c r="M68" s="119">
        <f t="shared" si="25"/>
        <v>5</v>
      </c>
      <c r="N68" s="119">
        <f t="shared" si="26"/>
        <v>30</v>
      </c>
      <c r="O68" s="165">
        <f t="shared" si="27"/>
        <v>4.836541622790909</v>
      </c>
      <c r="P68" s="118">
        <f t="shared" si="28"/>
        <v>54.836541622790911</v>
      </c>
      <c r="S68" s="15" t="s">
        <v>282</v>
      </c>
      <c r="T68" s="122">
        <f>'2. Check Reference Home'!B22*$B$58/1000000</f>
        <v>1009.0266764953479</v>
      </c>
      <c r="U68" s="119">
        <f t="shared" si="43"/>
        <v>15.135400147430218</v>
      </c>
      <c r="V68" s="119">
        <f t="shared" si="44"/>
        <v>0</v>
      </c>
      <c r="W68" s="119">
        <f t="shared" si="45"/>
        <v>0</v>
      </c>
      <c r="X68" s="119">
        <f t="shared" si="46"/>
        <v>5.0451333824767399</v>
      </c>
      <c r="Y68" s="119">
        <f t="shared" si="47"/>
        <v>30.270800294860436</v>
      </c>
      <c r="Z68" s="119">
        <f t="shared" si="48"/>
        <v>4.8801995193761281</v>
      </c>
      <c r="AA68" s="161" t="s">
        <v>132</v>
      </c>
      <c r="AB68" s="165">
        <f t="shared" si="30"/>
        <v>15</v>
      </c>
      <c r="AC68" s="165">
        <f t="shared" si="31"/>
        <v>0</v>
      </c>
      <c r="AD68" s="165">
        <f t="shared" si="32"/>
        <v>0</v>
      </c>
      <c r="AE68" s="165">
        <f t="shared" si="33"/>
        <v>5</v>
      </c>
      <c r="AF68" s="165">
        <f t="shared" si="34"/>
        <v>30</v>
      </c>
      <c r="AG68" s="165">
        <f t="shared" si="35"/>
        <v>4.836541622790909</v>
      </c>
      <c r="AH68" s="118">
        <f>'3. Charges'!B23</f>
        <v>54.836541622790911</v>
      </c>
      <c r="AI68" s="122">
        <f t="shared" si="36"/>
        <v>1</v>
      </c>
    </row>
    <row r="69" spans="1:36">
      <c r="A69" s="15" t="s">
        <v>201</v>
      </c>
      <c r="B69" t="s">
        <v>490</v>
      </c>
      <c r="C69" s="119">
        <f>J69*$B$58/1000000</f>
        <v>1161.8507807735709</v>
      </c>
      <c r="F69" s="119">
        <f>M69*$B$58/1000000</f>
        <v>2367.8338381786316</v>
      </c>
      <c r="I69" s="161" t="s">
        <v>285</v>
      </c>
      <c r="J69" s="119">
        <v>120</v>
      </c>
      <c r="K69" s="119">
        <f t="shared" si="23"/>
        <v>0</v>
      </c>
      <c r="L69" s="119">
        <f t="shared" si="24"/>
        <v>0</v>
      </c>
      <c r="M69" s="165">
        <f>VLOOKUP($O$55,RetailJO2,3,FALSE)</f>
        <v>244.55813541929433</v>
      </c>
      <c r="N69" s="119">
        <f t="shared" si="26"/>
        <v>0</v>
      </c>
      <c r="O69" s="119"/>
      <c r="P69" s="118">
        <f t="shared" si="28"/>
        <v>364.55813541929433</v>
      </c>
      <c r="S69" s="15" t="s">
        <v>201</v>
      </c>
      <c r="T69" t="s">
        <v>490</v>
      </c>
      <c r="U69" s="119">
        <f>AB69*$T$58/1000000</f>
        <v>1161.8507807735709</v>
      </c>
      <c r="V69" s="119">
        <f t="shared" ref="V69:X69" si="49">AC69*$T$58/1000000</f>
        <v>0</v>
      </c>
      <c r="W69" s="119">
        <f t="shared" si="49"/>
        <v>0</v>
      </c>
      <c r="X69" s="119">
        <f t="shared" si="49"/>
        <v>2367.8338381786316</v>
      </c>
      <c r="AA69" s="161" t="s">
        <v>285</v>
      </c>
      <c r="AB69" s="165">
        <f t="shared" si="30"/>
        <v>120</v>
      </c>
      <c r="AC69" s="165">
        <f t="shared" si="31"/>
        <v>0</v>
      </c>
      <c r="AD69" s="165">
        <f t="shared" si="32"/>
        <v>0</v>
      </c>
      <c r="AE69" s="165">
        <f t="shared" si="33"/>
        <v>244.55813541929433</v>
      </c>
      <c r="AF69" s="165">
        <f t="shared" si="34"/>
        <v>0</v>
      </c>
      <c r="AG69" s="165">
        <f t="shared" si="35"/>
        <v>0</v>
      </c>
      <c r="AH69" s="118">
        <f>'3. Charges'!B25+'3. Charges'!B26</f>
        <v>364.55813541929433</v>
      </c>
      <c r="AI69" s="122">
        <f t="shared" si="36"/>
        <v>1</v>
      </c>
    </row>
    <row r="70" spans="1:36">
      <c r="A70" s="141" t="s">
        <v>464</v>
      </c>
      <c r="B70" s="114">
        <f>VLOOKUP($B$55,Jurisdata3,29,FALSE)*B60</f>
        <v>34953634.298342966</v>
      </c>
      <c r="E70" s="119">
        <f>$B$70*N70/1000000</f>
        <v>2446.7544008840073</v>
      </c>
      <c r="I70" s="162" t="s">
        <v>465</v>
      </c>
      <c r="J70" s="119">
        <f t="shared" si="23"/>
        <v>0</v>
      </c>
      <c r="K70" s="119">
        <f t="shared" si="23"/>
        <v>0</v>
      </c>
      <c r="L70" s="119">
        <f t="shared" si="24"/>
        <v>0</v>
      </c>
      <c r="M70" s="119">
        <f t="shared" si="25"/>
        <v>0</v>
      </c>
      <c r="N70" s="119">
        <f t="shared" si="26"/>
        <v>70</v>
      </c>
      <c r="O70" s="119"/>
      <c r="P70" s="118">
        <f t="shared" si="28"/>
        <v>70</v>
      </c>
      <c r="Q70" s="199">
        <f>E70/SUM(B63:B66)*1000</f>
        <v>66.196103146759739</v>
      </c>
      <c r="R70" t="s">
        <v>132</v>
      </c>
      <c r="S70" s="141" t="s">
        <v>464</v>
      </c>
      <c r="T70" s="114">
        <f>VLOOKUP($B$55,Jurisdata3,29,FALSE)*T60</f>
        <v>34953634.298342966</v>
      </c>
      <c r="W70" s="119"/>
      <c r="AA70" s="162" t="s">
        <v>465</v>
      </c>
      <c r="AB70" s="119">
        <f t="shared" ref="AB70:AB71" si="50">U41</f>
        <v>0</v>
      </c>
      <c r="AC70" s="119">
        <f t="shared" ref="AC70:AC71" si="51">V41</f>
        <v>0</v>
      </c>
      <c r="AD70" s="119">
        <f t="shared" ref="AD70:AD71" si="52">W41</f>
        <v>0</v>
      </c>
      <c r="AE70" s="119">
        <f t="shared" ref="AE70:AE71" si="53">X41</f>
        <v>0</v>
      </c>
      <c r="AF70" s="119">
        <f t="shared" ref="AF70:AF71" si="54">Y41</f>
        <v>0</v>
      </c>
      <c r="AG70" s="119"/>
      <c r="AH70" s="118">
        <f t="shared" ref="AH70:AH71" si="55">SUM(AB70:AG70)</f>
        <v>0</v>
      </c>
      <c r="AI70" s="199">
        <f>'3. Charges'!B17</f>
        <v>66.196103146759739</v>
      </c>
      <c r="AJ70" t="s">
        <v>132</v>
      </c>
    </row>
    <row r="71" spans="1:36">
      <c r="B71" s="112" t="s">
        <v>298</v>
      </c>
      <c r="I71" s="163" t="s">
        <v>467</v>
      </c>
      <c r="J71" s="119">
        <f t="shared" si="23"/>
        <v>0</v>
      </c>
      <c r="K71" s="119">
        <f t="shared" si="23"/>
        <v>0</v>
      </c>
      <c r="L71" s="119">
        <f t="shared" si="24"/>
        <v>0</v>
      </c>
      <c r="M71" s="119">
        <f t="shared" si="25"/>
        <v>0</v>
      </c>
      <c r="N71" s="119">
        <f t="shared" si="26"/>
        <v>0</v>
      </c>
      <c r="O71" s="119"/>
      <c r="P71" s="118">
        <f t="shared" si="28"/>
        <v>0</v>
      </c>
      <c r="T71" s="112" t="s">
        <v>298</v>
      </c>
      <c r="AA71" s="163" t="s">
        <v>467</v>
      </c>
      <c r="AB71" s="119">
        <f t="shared" si="50"/>
        <v>0</v>
      </c>
      <c r="AC71" s="119">
        <f t="shared" si="51"/>
        <v>0</v>
      </c>
      <c r="AD71" s="119">
        <f t="shared" si="52"/>
        <v>0</v>
      </c>
      <c r="AE71" s="119">
        <f t="shared" si="53"/>
        <v>0</v>
      </c>
      <c r="AF71" s="119">
        <f t="shared" si="54"/>
        <v>0</v>
      </c>
      <c r="AG71" s="119"/>
      <c r="AH71" s="118">
        <f t="shared" si="55"/>
        <v>0</v>
      </c>
    </row>
    <row r="72" spans="1:36">
      <c r="A72" s="15" t="s">
        <v>466</v>
      </c>
      <c r="B72" s="118">
        <f>SUM(C72:H72)</f>
        <v>2386.9699360824834</v>
      </c>
      <c r="C72" s="118">
        <f t="shared" ref="C72:H72" si="56">C57-SUM(C62:C70)</f>
        <v>1837.9291276869308</v>
      </c>
      <c r="D72" s="118">
        <f t="shared" si="56"/>
        <v>577.97320728749537</v>
      </c>
      <c r="E72" s="118">
        <f t="shared" si="56"/>
        <v>-430.21337894489625</v>
      </c>
      <c r="F72" s="118">
        <f t="shared" si="56"/>
        <v>290.46269519339421</v>
      </c>
      <c r="G72" s="118">
        <f t="shared" si="56"/>
        <v>-46.460803126298174</v>
      </c>
      <c r="H72" s="118">
        <f t="shared" si="56"/>
        <v>157.27908798585736</v>
      </c>
      <c r="S72" s="15" t="s">
        <v>466</v>
      </c>
      <c r="T72" s="118">
        <f>SUM(U72:Z72)</f>
        <v>2386.9699360824843</v>
      </c>
      <c r="U72" s="118">
        <f t="shared" ref="U72:Z72" si="57">U57-SUM(U62:U70)</f>
        <v>1505.2110840868181</v>
      </c>
      <c r="V72" s="118">
        <f t="shared" si="57"/>
        <v>577.97320728749537</v>
      </c>
      <c r="W72" s="118">
        <f t="shared" si="57"/>
        <v>342.50301935703101</v>
      </c>
      <c r="X72" s="118">
        <f t="shared" si="57"/>
        <v>179.55668066002318</v>
      </c>
      <c r="Y72" s="118">
        <f t="shared" si="57"/>
        <v>-268.27283219304024</v>
      </c>
      <c r="Z72" s="118">
        <f t="shared" si="57"/>
        <v>49.998776884156939</v>
      </c>
    </row>
    <row r="73" spans="1:36">
      <c r="A73" s="15" t="s">
        <v>491</v>
      </c>
      <c r="B73" s="118">
        <f t="shared" ref="B73:B75" si="58">SUM(C73:H73)</f>
        <v>46.066548192758098</v>
      </c>
      <c r="C73" s="124">
        <f>C72/$B$60*1000</f>
        <v>35.470514083817982</v>
      </c>
      <c r="D73" s="124">
        <f t="shared" ref="D73:H73" si="59">D72/$B$60*1000</f>
        <v>11.154405510163206</v>
      </c>
      <c r="E73" s="124">
        <f t="shared" si="59"/>
        <v>-8.3027628688363677</v>
      </c>
      <c r="F73" s="124">
        <f t="shared" si="59"/>
        <v>5.6056901027774497</v>
      </c>
      <c r="G73" s="124">
        <f t="shared" si="59"/>
        <v>-0.89665512495080757</v>
      </c>
      <c r="H73" s="124">
        <f t="shared" si="59"/>
        <v>3.0353564897866279</v>
      </c>
      <c r="J73" s="195" t="s">
        <v>492</v>
      </c>
      <c r="K73" s="195"/>
      <c r="L73" s="195"/>
      <c r="S73" s="15" t="s">
        <v>491</v>
      </c>
      <c r="T73" s="118">
        <f t="shared" ref="T73:T75" si="60">SUM(U73:Z73)</f>
        <v>46.066548192758113</v>
      </c>
      <c r="U73" s="124">
        <f t="shared" ref="U73:Z73" si="61">U72/$T$60*1000</f>
        <v>29.049330658583948</v>
      </c>
      <c r="V73" s="124">
        <f t="shared" si="61"/>
        <v>11.154405510163206</v>
      </c>
      <c r="W73" s="124">
        <f t="shared" si="61"/>
        <v>6.6100253752130245</v>
      </c>
      <c r="X73" s="124">
        <f t="shared" si="61"/>
        <v>3.4652956276994362</v>
      </c>
      <c r="Y73" s="124">
        <f t="shared" si="61"/>
        <v>-5.1774440751068349</v>
      </c>
      <c r="Z73" s="124">
        <f t="shared" si="61"/>
        <v>0.96493509620532725</v>
      </c>
      <c r="AB73" s="195" t="s">
        <v>492</v>
      </c>
      <c r="AC73" s="195"/>
      <c r="AD73" s="195"/>
    </row>
    <row r="74" spans="1:36">
      <c r="A74" s="15" t="s">
        <v>493</v>
      </c>
      <c r="B74" s="118">
        <f t="shared" si="58"/>
        <v>246.53457833818038</v>
      </c>
      <c r="C74" s="124">
        <f>C72/$B$58*1000000</f>
        <v>189.8277291474439</v>
      </c>
      <c r="D74" s="124">
        <f t="shared" ref="D74:H74" si="62">D72/$B$58*1000000</f>
        <v>59.695088235273253</v>
      </c>
      <c r="E74" s="124">
        <f t="shared" si="62"/>
        <v>-44.433937927050103</v>
      </c>
      <c r="F74" s="124">
        <f t="shared" si="62"/>
        <v>30.000000000000149</v>
      </c>
      <c r="G74" s="124">
        <f t="shared" si="62"/>
        <v>-4.7986337552260343</v>
      </c>
      <c r="H74" s="124">
        <f t="shared" si="62"/>
        <v>16.244332637739191</v>
      </c>
      <c r="S74" s="15" t="s">
        <v>493</v>
      </c>
      <c r="T74" s="118">
        <f t="shared" si="60"/>
        <v>246.53457833818052</v>
      </c>
      <c r="U74" s="124">
        <f t="shared" ref="U74:Z74" si="63">U72/$T$58*1000000</f>
        <v>155.46344942003321</v>
      </c>
      <c r="V74" s="124">
        <f t="shared" si="63"/>
        <v>59.695088235273253</v>
      </c>
      <c r="W74" s="124">
        <f t="shared" si="63"/>
        <v>35.374906143694908</v>
      </c>
      <c r="X74" s="124">
        <f t="shared" si="63"/>
        <v>18.545240090863235</v>
      </c>
      <c r="Y74" s="124">
        <f t="shared" si="63"/>
        <v>-27.708153573499864</v>
      </c>
      <c r="Z74" s="124">
        <f t="shared" si="63"/>
        <v>5.1640480218157396</v>
      </c>
    </row>
    <row r="75" spans="1:36">
      <c r="A75" s="15" t="s">
        <v>494</v>
      </c>
      <c r="B75" s="118">
        <f t="shared" si="58"/>
        <v>142.36602163266025</v>
      </c>
      <c r="C75" s="124">
        <f>C72/$B$59*1000</f>
        <v>109.61958673891408</v>
      </c>
      <c r="D75" s="124">
        <f t="shared" ref="D75:H75" si="64">D72/$B$59*1000</f>
        <v>34.472049642499655</v>
      </c>
      <c r="E75" s="124">
        <f t="shared" si="64"/>
        <v>-25.65921182654246</v>
      </c>
      <c r="F75" s="124">
        <f t="shared" si="64"/>
        <v>17.324063333303169</v>
      </c>
      <c r="G75" s="124">
        <f t="shared" si="64"/>
        <v>-2.7710611696287275</v>
      </c>
      <c r="H75" s="124">
        <f t="shared" si="64"/>
        <v>9.3805949141145373</v>
      </c>
      <c r="S75" s="15" t="s">
        <v>494</v>
      </c>
      <c r="T75" s="118">
        <f t="shared" si="60"/>
        <v>142.36602163266031</v>
      </c>
      <c r="U75" s="124">
        <f t="shared" ref="U75:Z75" si="65">U72/$T$59*1000</f>
        <v>89.775288125547206</v>
      </c>
      <c r="V75" s="124">
        <f t="shared" si="65"/>
        <v>34.472049642499655</v>
      </c>
      <c r="W75" s="124">
        <f t="shared" si="65"/>
        <v>20.427903814767433</v>
      </c>
      <c r="X75" s="124">
        <f t="shared" si="65"/>
        <v>10.709297128847536</v>
      </c>
      <c r="Y75" s="124">
        <f t="shared" si="65"/>
        <v>-16.000593578539995</v>
      </c>
      <c r="Z75" s="124">
        <f t="shared" si="65"/>
        <v>2.9820764995384792</v>
      </c>
    </row>
    <row r="76" spans="1:36">
      <c r="C76" t="s">
        <v>495</v>
      </c>
    </row>
    <row r="77" spans="1:36">
      <c r="A77" s="15" t="s">
        <v>496</v>
      </c>
      <c r="B77" s="115">
        <f>B73*B60/B58*1000</f>
        <v>246.53457833818044</v>
      </c>
      <c r="C77" s="15" t="s">
        <v>491</v>
      </c>
      <c r="D77" s="118">
        <f>B73/B74*D78</f>
        <v>46.066548192758098</v>
      </c>
      <c r="S77" s="15" t="s">
        <v>496</v>
      </c>
      <c r="T77" s="115">
        <f>T73*T60/T58*1000</f>
        <v>246.53457833818052</v>
      </c>
    </row>
    <row r="78" spans="1:36">
      <c r="B78" s="118">
        <f>B74</f>
        <v>246.53457833818038</v>
      </c>
      <c r="C78" s="15" t="s">
        <v>493</v>
      </c>
      <c r="D78" s="118">
        <f>'1. Choose State'!G7-'1. Choose State'!D7+Lookups!B74</f>
        <v>246.53457833818038</v>
      </c>
      <c r="T78" s="118">
        <f>T74</f>
        <v>246.53457833818052</v>
      </c>
    </row>
    <row r="79" spans="1:36">
      <c r="B79" s="115">
        <f>B75*B59/B58*1000</f>
        <v>246.53457833818038</v>
      </c>
      <c r="C79" s="15" t="s">
        <v>494</v>
      </c>
      <c r="D79" s="118">
        <f>B75/B74*D78</f>
        <v>142.36602163266025</v>
      </c>
      <c r="T79" s="115">
        <f>T75*T59/T58*1000</f>
        <v>246.53457833818049</v>
      </c>
    </row>
    <row r="81" spans="1:16">
      <c r="D81" s="112" t="s">
        <v>497</v>
      </c>
      <c r="E81" s="112" t="s">
        <v>498</v>
      </c>
      <c r="F81" s="112" t="s">
        <v>185</v>
      </c>
      <c r="H81" s="112" t="s">
        <v>499</v>
      </c>
      <c r="I81" s="112" t="s">
        <v>499</v>
      </c>
    </row>
    <row r="82" spans="1:16">
      <c r="A82" s="112" t="s">
        <v>500</v>
      </c>
      <c r="B82" t="s">
        <v>501</v>
      </c>
      <c r="D82" s="119">
        <f>T57/T58*1000000</f>
        <v>1784.1421211554439</v>
      </c>
      <c r="E82" s="251">
        <f>'4. Calculator'!B10</f>
        <v>0</v>
      </c>
      <c r="F82" s="115">
        <f>T74</f>
        <v>246.53457833818052</v>
      </c>
      <c r="G82" t="s">
        <v>502</v>
      </c>
      <c r="H82" s="118">
        <f>AH69+F82*E82</f>
        <v>364.55813541929433</v>
      </c>
      <c r="I82" s="118">
        <f>H82</f>
        <v>364.55813541929433</v>
      </c>
    </row>
    <row r="84" spans="1:16">
      <c r="A84" s="112" t="s">
        <v>503</v>
      </c>
      <c r="C84" s="112" t="s">
        <v>504</v>
      </c>
      <c r="D84" s="112" t="s">
        <v>505</v>
      </c>
      <c r="E84" s="251">
        <f>'4. Calculator'!B11</f>
        <v>0</v>
      </c>
      <c r="F84" s="118">
        <f>T75</f>
        <v>142.36602163266031</v>
      </c>
      <c r="G84" s="112" t="s">
        <v>321</v>
      </c>
      <c r="H84" s="112" t="s">
        <v>506</v>
      </c>
    </row>
    <row r="85" spans="1:16">
      <c r="A85" t="s">
        <v>507</v>
      </c>
      <c r="C85" s="118">
        <f>AH62</f>
        <v>198.91682280135231</v>
      </c>
      <c r="H85" s="118">
        <f>C85+F84*E84</f>
        <v>198.91682280135231</v>
      </c>
      <c r="I85" s="119">
        <f>H85*T59/T58*1000</f>
        <v>344.46333803045377</v>
      </c>
    </row>
    <row r="86" spans="1:16">
      <c r="A86" t="s">
        <v>508</v>
      </c>
      <c r="D86" t="s">
        <v>509</v>
      </c>
    </row>
    <row r="87" spans="1:16">
      <c r="A87" t="s">
        <v>510</v>
      </c>
      <c r="C87" s="118" t="s">
        <v>511</v>
      </c>
      <c r="D87" t="s">
        <v>512</v>
      </c>
      <c r="H87" s="118" t="s">
        <v>511</v>
      </c>
    </row>
    <row r="88" spans="1:16">
      <c r="A88" t="s">
        <v>513</v>
      </c>
    </row>
    <row r="89" spans="1:16">
      <c r="A89" t="s">
        <v>514</v>
      </c>
      <c r="B89">
        <f>'4. Calculator'!B5</f>
        <v>2</v>
      </c>
    </row>
    <row r="90" spans="1:16">
      <c r="C90" s="112" t="s">
        <v>132</v>
      </c>
      <c r="D90" t="s">
        <v>515</v>
      </c>
      <c r="O90" s="112" t="s">
        <v>516</v>
      </c>
    </row>
    <row r="91" spans="1:16">
      <c r="A91" t="s">
        <v>517</v>
      </c>
      <c r="B91" s="116">
        <f>T58</f>
        <v>9682089.8397797588</v>
      </c>
      <c r="D91" s="308">
        <f>I85</f>
        <v>344.46333803045377</v>
      </c>
      <c r="E91" s="112" t="s">
        <v>498</v>
      </c>
      <c r="F91" s="112"/>
      <c r="I91" s="112" t="s">
        <v>499</v>
      </c>
      <c r="K91" s="112" t="s">
        <v>518</v>
      </c>
      <c r="L91" t="s">
        <v>519</v>
      </c>
      <c r="M91" s="112" t="s">
        <v>520</v>
      </c>
      <c r="O91" t="s">
        <v>521</v>
      </c>
    </row>
    <row r="92" spans="1:16">
      <c r="A92" s="112" t="s">
        <v>522</v>
      </c>
      <c r="B92" t="s">
        <v>523</v>
      </c>
      <c r="C92" t="s">
        <v>524</v>
      </c>
      <c r="D92" s="112" t="s">
        <v>132</v>
      </c>
      <c r="E92" t="s">
        <v>525</v>
      </c>
      <c r="F92" t="s">
        <v>526</v>
      </c>
      <c r="H92" t="s">
        <v>525</v>
      </c>
      <c r="I92" t="s">
        <v>526</v>
      </c>
      <c r="O92" s="118">
        <f>E84*F84</f>
        <v>0</v>
      </c>
    </row>
    <row r="93" spans="1:16">
      <c r="A93" t="s">
        <v>527</v>
      </c>
      <c r="B93" s="115">
        <f>T63</f>
        <v>159.28108499999996</v>
      </c>
      <c r="C93" s="118">
        <f>AH63</f>
        <v>551.03264476955064</v>
      </c>
      <c r="D93" s="124">
        <f>$D$91*$B$91/B93/1000</f>
        <v>20938.612926458143</v>
      </c>
      <c r="E93" s="118">
        <f>C93</f>
        <v>551.03264476955064</v>
      </c>
      <c r="F93" s="118">
        <f>D93+C93</f>
        <v>21489.645571227695</v>
      </c>
      <c r="H93" s="118">
        <f>E93*$B93*1000/$B$91</f>
        <v>9.065096377096836</v>
      </c>
      <c r="I93" s="118">
        <f>F93*$B93*1000/$B$91</f>
        <v>353.52843440755066</v>
      </c>
      <c r="J93" s="118"/>
      <c r="K93" s="119">
        <f>IF(B111=1,C107,IF(B111=2,C108,0))</f>
        <v>98.902639623487701</v>
      </c>
      <c r="L93" s="119">
        <f>IF($B$89=2,F93,IF($B$89=3,E93,0))</f>
        <v>21489.645571227695</v>
      </c>
      <c r="M93" s="118">
        <f>IF(OR($B$89=2,$B$89=3),L93+K93,0)</f>
        <v>21588.548210851182</v>
      </c>
      <c r="O93" s="124">
        <f>$O$92*$B$91/B93/1000</f>
        <v>0</v>
      </c>
      <c r="P93" s="118">
        <f>L93-O93</f>
        <v>21489.645571227695</v>
      </c>
    </row>
    <row r="94" spans="1:16">
      <c r="A94" t="s">
        <v>528</v>
      </c>
      <c r="B94" s="115">
        <f>T64+B93</f>
        <v>1366.4640450000002</v>
      </c>
      <c r="C94" s="115">
        <f>(C93*B93+AH64*T64)/(B94)</f>
        <v>551.03264476955064</v>
      </c>
      <c r="D94" s="124">
        <f>$D$91*$B$91/B94/1000</f>
        <v>2440.6972122865309</v>
      </c>
      <c r="E94" s="118">
        <f t="shared" ref="E94:E95" si="66">C94</f>
        <v>551.03264476955064</v>
      </c>
      <c r="F94" s="118">
        <f t="shared" ref="F94:F95" si="67">D94+C94</f>
        <v>2991.7298570560815</v>
      </c>
      <c r="H94" s="118">
        <f t="shared" ref="H94" si="68">E94*$B94*1000/$B$91</f>
        <v>77.768984708778149</v>
      </c>
      <c r="I94" s="118">
        <f>F94*B94*1000/$B$91</f>
        <v>422.2323227392319</v>
      </c>
      <c r="J94" s="118"/>
      <c r="K94" s="119">
        <f>K93</f>
        <v>98.902639623487701</v>
      </c>
      <c r="L94" s="119">
        <f>IF($B$89=2,F94,IF($B$89=3,E94,0))</f>
        <v>2991.7298570560815</v>
      </c>
      <c r="M94" s="118">
        <f t="shared" ref="M94:M95" si="69">IF(OR($B$89=2,$B$89=3),L94+K94,0)</f>
        <v>3090.6324966795692</v>
      </c>
      <c r="O94" s="124">
        <f t="shared" ref="O94:O95" si="70">$O$92*$B$91/B94/1000</f>
        <v>0</v>
      </c>
      <c r="P94" s="118">
        <f t="shared" ref="P94:P95" si="71">L94-O94</f>
        <v>2991.7298570560815</v>
      </c>
    </row>
    <row r="95" spans="1:16">
      <c r="A95" t="s">
        <v>529</v>
      </c>
      <c r="B95" s="115">
        <f>T65+B94</f>
        <v>5725.7358450000011</v>
      </c>
      <c r="C95" s="115">
        <f>(C94*B94+T65*AH65)/(B95)</f>
        <v>353.08242515022414</v>
      </c>
      <c r="D95" s="124">
        <f>$D$91*$B$91/B95/1000</f>
        <v>582.47971537731257</v>
      </c>
      <c r="E95" s="118">
        <f t="shared" si="66"/>
        <v>353.08242515022414</v>
      </c>
      <c r="F95" s="118">
        <f t="shared" si="67"/>
        <v>935.56214052753671</v>
      </c>
      <c r="H95" s="118">
        <f>E95*$B95*1000/$B$91</f>
        <v>208.80375325748429</v>
      </c>
      <c r="I95" s="118">
        <f>F95*B95*1000/$B$91</f>
        <v>553.26709128793811</v>
      </c>
      <c r="J95" s="118"/>
      <c r="K95" s="119">
        <f>K94</f>
        <v>98.902639623487701</v>
      </c>
      <c r="L95" s="119">
        <f t="shared" ref="L95" si="72">IF($B$89=2,F95,IF($B$89=3,E95,0))</f>
        <v>935.56214052753671</v>
      </c>
      <c r="M95" s="118">
        <f t="shared" si="69"/>
        <v>1034.4647801510243</v>
      </c>
      <c r="O95" s="124">
        <f t="shared" si="70"/>
        <v>0</v>
      </c>
      <c r="P95" s="118">
        <f t="shared" si="71"/>
        <v>935.56214052753671</v>
      </c>
    </row>
    <row r="96" spans="1:16">
      <c r="A96" t="s">
        <v>514</v>
      </c>
      <c r="B96">
        <f>'4. Calculator'!B6</f>
        <v>2</v>
      </c>
      <c r="E96" s="122"/>
      <c r="K96" s="115"/>
    </row>
    <row r="97" spans="1:15">
      <c r="A97" t="s">
        <v>530</v>
      </c>
      <c r="B97" s="115">
        <f>B95</f>
        <v>5725.7358450000011</v>
      </c>
      <c r="I97" s="118">
        <f>H95</f>
        <v>208.80375325748429</v>
      </c>
    </row>
    <row r="98" spans="1:15">
      <c r="A98" t="s">
        <v>531</v>
      </c>
      <c r="B98" s="122" cm="1">
        <f t="array" ref="B98">IF(OR(B89=4,B89=1),B97,_xlfn.SWITCH(B96,1,B95-B93,2,B95-B94,3,0))</f>
        <v>4359.2718000000004</v>
      </c>
      <c r="G98" t="s">
        <v>532</v>
      </c>
      <c r="I98" s="118" cm="1">
        <f t="array" ref="I98">IF(OR(B89=4,B89=1),I97,_xlfn.SWITCH(B96,1,H95-H93,2,H95-H94,3,0))</f>
        <v>131.03476854870615</v>
      </c>
      <c r="K98" s="310" t="s">
        <v>533</v>
      </c>
      <c r="L98" s="311" t="s">
        <v>534</v>
      </c>
      <c r="N98" s="310" t="s">
        <v>535</v>
      </c>
      <c r="O98" s="311" t="s">
        <v>536</v>
      </c>
    </row>
    <row r="99" spans="1:15">
      <c r="A99" s="112" t="s">
        <v>537</v>
      </c>
      <c r="B99" s="112" t="s">
        <v>523</v>
      </c>
      <c r="C99" s="112" t="s">
        <v>538</v>
      </c>
      <c r="D99" s="112" t="s">
        <v>539</v>
      </c>
      <c r="G99" s="112" t="s">
        <v>132</v>
      </c>
      <c r="H99" s="112" t="s">
        <v>540</v>
      </c>
      <c r="I99" s="112" t="s">
        <v>541</v>
      </c>
      <c r="K99" s="311" t="s">
        <v>542</v>
      </c>
      <c r="L99" s="311">
        <v>1</v>
      </c>
      <c r="M99" s="313">
        <f>I82</f>
        <v>364.55813541929433</v>
      </c>
      <c r="N99" s="313">
        <f>M99*L99</f>
        <v>364.55813541929433</v>
      </c>
      <c r="O99" s="313">
        <f>AH69</f>
        <v>364.55813541929433</v>
      </c>
    </row>
    <row r="100" spans="1:15">
      <c r="A100" t="s">
        <v>543</v>
      </c>
      <c r="C100" s="118">
        <f>I85</f>
        <v>344.46333803045377</v>
      </c>
      <c r="D100" t="b">
        <f>B89=4</f>
        <v>0</v>
      </c>
      <c r="E100" s="251"/>
      <c r="I100" s="119">
        <f>IF(D100,C100,0)</f>
        <v>0</v>
      </c>
      <c r="K100" s="311" t="s">
        <v>543</v>
      </c>
      <c r="L100" s="312">
        <f>IF(OR(B89=1,B89=3),T59/T58*1000,0)</f>
        <v>0</v>
      </c>
      <c r="M100" s="314">
        <f>H85</f>
        <v>198.91682280135231</v>
      </c>
      <c r="N100" s="313">
        <f t="shared" ref="N100:N104" si="73">M100*L100</f>
        <v>0</v>
      </c>
      <c r="O100" s="313">
        <f>C85</f>
        <v>198.91682280135231</v>
      </c>
    </row>
    <row r="101" spans="1:15">
      <c r="A101" t="s">
        <v>544</v>
      </c>
      <c r="B101" s="115">
        <f>B98</f>
        <v>4359.2718000000004</v>
      </c>
      <c r="C101" s="122">
        <f>IF(OR(B89=1,B89=4),I97,I98)</f>
        <v>131.03476854870615</v>
      </c>
      <c r="D101" s="118" t="b">
        <v>1</v>
      </c>
      <c r="E101" s="118"/>
      <c r="H101">
        <f>D101*B101</f>
        <v>4359.2718000000004</v>
      </c>
      <c r="I101" s="119">
        <f t="shared" ref="I101:I103" si="74">IF(D101,C101,0)</f>
        <v>131.03476854870615</v>
      </c>
      <c r="K101" s="311" t="s">
        <v>544</v>
      </c>
      <c r="L101" s="315" cm="1">
        <f t="array" ref="L101">_xlfn.SWITCH(B96,1,B93,2,B94,3,B95)/B91*1000</f>
        <v>0.14113317141365048</v>
      </c>
      <c r="M101" s="314" cm="1">
        <f t="array" ref="M101">_xlfn.SWITCH(B96,1,M93,2,M94,3,M95)</f>
        <v>3090.6324966795692</v>
      </c>
      <c r="N101" s="313">
        <f>M101*L101</f>
        <v>436.19076593047618</v>
      </c>
      <c r="O101" s="313" cm="1">
        <f t="array" ref="O101">_xlfn.SWITCH(B96,1,P93,2,P94,3,P95)</f>
        <v>2991.7298570560815</v>
      </c>
    </row>
    <row r="102" spans="1:15">
      <c r="A102" t="s">
        <v>281</v>
      </c>
      <c r="B102" s="115">
        <f>T67</f>
        <v>13844.450316444067</v>
      </c>
      <c r="C102" s="119">
        <f>B102*G102*1000/$B$91</f>
        <v>78.410941086621364</v>
      </c>
      <c r="D102" t="b">
        <f>NOT('4. Calculator'!B7)</f>
        <v>0</v>
      </c>
      <c r="E102" s="118"/>
      <c r="G102" s="118">
        <f>AH67</f>
        <v>54.836541622790911</v>
      </c>
      <c r="H102">
        <f t="shared" ref="H102:H103" si="75">D102*B102</f>
        <v>0</v>
      </c>
      <c r="I102" s="119">
        <f t="shared" si="74"/>
        <v>0</v>
      </c>
      <c r="K102" s="311" t="s">
        <v>545</v>
      </c>
      <c r="L102" s="312">
        <f>B116/$B$91*1000</f>
        <v>3.676452975167015</v>
      </c>
      <c r="M102" s="315">
        <f>G116</f>
        <v>244.60191687177235</v>
      </c>
      <c r="N102" s="313">
        <f t="shared" si="73"/>
        <v>899.26744501478231</v>
      </c>
      <c r="O102" s="313">
        <f>F116</f>
        <v>98.902639623487701</v>
      </c>
    </row>
    <row r="103" spans="1:15">
      <c r="A103" t="s">
        <v>546</v>
      </c>
      <c r="B103" s="115">
        <f>T68</f>
        <v>1009.0266764953479</v>
      </c>
      <c r="C103" s="119">
        <f>B103*G103*1000/$B$91</f>
        <v>5.7148337042700046</v>
      </c>
      <c r="D103" t="b">
        <f>NOT('4. Calculator'!B8)</f>
        <v>0</v>
      </c>
      <c r="E103" s="118"/>
      <c r="G103" s="118">
        <f>AH68</f>
        <v>54.836541622790911</v>
      </c>
      <c r="H103" s="122">
        <f t="shared" si="75"/>
        <v>0</v>
      </c>
      <c r="I103" s="119">
        <f t="shared" si="74"/>
        <v>0</v>
      </c>
      <c r="K103" s="311" t="s">
        <v>281</v>
      </c>
      <c r="L103" s="312">
        <f t="shared" ref="L103:L104" si="76">B117/$B$91*1000</f>
        <v>1.4299031041379999</v>
      </c>
      <c r="M103" s="315">
        <f>G117</f>
        <v>54.836541622790911</v>
      </c>
      <c r="N103" s="313">
        <f t="shared" si="73"/>
        <v>78.410941086621364</v>
      </c>
      <c r="O103" s="313">
        <f t="shared" ref="O103:O104" si="77">E117</f>
        <v>54.836541622790911</v>
      </c>
    </row>
    <row r="104" spans="1:15">
      <c r="A104" t="s">
        <v>466</v>
      </c>
      <c r="D104" t="s">
        <v>547</v>
      </c>
      <c r="E104" s="251">
        <f>'4. Calculator'!B12</f>
        <v>1</v>
      </c>
      <c r="I104" s="118">
        <f>T74*E104</f>
        <v>246.53457833818052</v>
      </c>
      <c r="K104" s="311" t="s">
        <v>546</v>
      </c>
      <c r="L104" s="312">
        <f t="shared" si="76"/>
        <v>0.10421579361406758</v>
      </c>
      <c r="M104" s="315">
        <f>G118</f>
        <v>54.836541622790911</v>
      </c>
      <c r="N104" s="313">
        <f t="shared" si="73"/>
        <v>5.7148337042700037</v>
      </c>
      <c r="O104" s="313">
        <f t="shared" si="77"/>
        <v>54.836541622790911</v>
      </c>
    </row>
    <row r="105" spans="1:15">
      <c r="H105" s="309" t="s">
        <v>548</v>
      </c>
      <c r="I105" s="118">
        <f>SUM(I100:I104)</f>
        <v>377.56934688688671</v>
      </c>
      <c r="M105" s="316" t="s">
        <v>548</v>
      </c>
      <c r="N105" s="317">
        <f>SUM(N99:N104)</f>
        <v>1784.1421211554439</v>
      </c>
      <c r="O105" s="313"/>
    </row>
    <row r="106" spans="1:15">
      <c r="A106" s="112" t="s">
        <v>549</v>
      </c>
      <c r="C106" s="112" t="s">
        <v>550</v>
      </c>
      <c r="D106" s="112"/>
      <c r="E106" s="112"/>
      <c r="F106" s="112"/>
      <c r="G106" s="112"/>
      <c r="H106" s="112"/>
      <c r="I106" s="112"/>
      <c r="J106" s="112"/>
      <c r="N106" s="311" t="str">
        <f>D81</f>
        <v>Total expected per customer</v>
      </c>
      <c r="O106" s="313"/>
    </row>
    <row r="107" spans="1:15">
      <c r="A107" t="s">
        <v>551</v>
      </c>
      <c r="B107" s="115">
        <f>SUM($T$63:$T$68)</f>
        <v>51815.689035232041</v>
      </c>
      <c r="C107" s="119">
        <f>$I$105/B107*$B$91/1000</f>
        <v>70.551225031865172</v>
      </c>
      <c r="D107" s="118"/>
      <c r="E107" s="115"/>
      <c r="F107" s="118"/>
      <c r="G107" s="118"/>
      <c r="H107" s="118"/>
      <c r="I107" s="118"/>
      <c r="J107" s="118"/>
      <c r="N107" s="314">
        <f>D82</f>
        <v>1784.1421211554439</v>
      </c>
      <c r="O107" s="313"/>
    </row>
    <row r="108" spans="1:15">
      <c r="A108" t="s">
        <v>552</v>
      </c>
      <c r="B108" s="115">
        <f>SUM($T$63:$T$66)+H102+H103</f>
        <v>36962.212042292624</v>
      </c>
      <c r="C108" s="119">
        <f t="shared" ref="C108:C110" si="78">$I$105/B108*$B$91/1000</f>
        <v>98.902639623487701</v>
      </c>
      <c r="D108" s="118"/>
      <c r="E108" s="115"/>
      <c r="F108" s="118"/>
      <c r="G108" s="118"/>
      <c r="H108" s="118"/>
      <c r="I108" s="118"/>
      <c r="J108" s="118"/>
    </row>
    <row r="109" spans="1:15">
      <c r="A109" t="s">
        <v>553</v>
      </c>
      <c r="B109" s="115">
        <f>T66+H101+H102+H103</f>
        <v>35595.747997292623</v>
      </c>
      <c r="C109" s="119">
        <f t="shared" si="78"/>
        <v>102.6993543606346</v>
      </c>
      <c r="D109" s="118"/>
      <c r="E109" s="115"/>
      <c r="F109" s="118"/>
      <c r="G109" s="118"/>
      <c r="H109" s="118"/>
      <c r="I109" s="118"/>
      <c r="J109" s="118"/>
    </row>
    <row r="110" spans="1:15">
      <c r="A110" t="s">
        <v>554</v>
      </c>
      <c r="B110" s="115">
        <f>SUM(T66:T68)+H101</f>
        <v>50449.22499023204</v>
      </c>
      <c r="C110" s="119">
        <f t="shared" si="78"/>
        <v>72.462170390399706</v>
      </c>
      <c r="D110" s="118"/>
      <c r="E110" s="115"/>
      <c r="F110" s="118"/>
      <c r="G110" s="118"/>
      <c r="H110" s="118"/>
      <c r="I110" s="118"/>
      <c r="J110" s="118"/>
    </row>
    <row r="111" spans="1:15">
      <c r="A111" t="s">
        <v>514</v>
      </c>
      <c r="B111">
        <f>'4. Calculator'!B13</f>
        <v>2</v>
      </c>
      <c r="K111" s="118"/>
    </row>
    <row r="115" spans="1:16">
      <c r="B115" s="112" t="s">
        <v>523</v>
      </c>
      <c r="C115" s="112" t="s">
        <v>555</v>
      </c>
      <c r="D115" s="112" t="s">
        <v>556</v>
      </c>
      <c r="E115" s="112" t="s">
        <v>557</v>
      </c>
      <c r="F115" s="112" t="s">
        <v>558</v>
      </c>
      <c r="G115" s="112" t="s">
        <v>559</v>
      </c>
    </row>
    <row r="116" spans="1:16">
      <c r="A116" t="s">
        <v>560</v>
      </c>
      <c r="B116" s="115">
        <f>B109</f>
        <v>35595.747997292623</v>
      </c>
      <c r="C116" s="118">
        <f>AH66</f>
        <v>166.03264476955064</v>
      </c>
      <c r="D116" s="115">
        <f>T66</f>
        <v>31236.476197292621</v>
      </c>
      <c r="E116" s="115">
        <f>C116/B116*D116</f>
        <v>145.69927724828463</v>
      </c>
      <c r="F116" s="115" cm="1">
        <f t="array" ref="F116">_xlfn.SWITCH($B$111,1,$C$107,2,$C$108,3,$C$109,4,$C$110)</f>
        <v>98.902639623487701</v>
      </c>
      <c r="G116" s="115">
        <f>F116+E116</f>
        <v>244.60191687177235</v>
      </c>
      <c r="I116" s="115">
        <f>E116*B116/$B$91*1000</f>
        <v>535.65654131913971</v>
      </c>
      <c r="J116" s="115">
        <f>F116*B116/$B$91*1000</f>
        <v>363.61090369564249</v>
      </c>
    </row>
    <row r="117" spans="1:16">
      <c r="A117" t="s">
        <v>561</v>
      </c>
      <c r="B117" s="122">
        <f>IF(NOT(D102),B102,0)</f>
        <v>13844.450316444067</v>
      </c>
      <c r="C117" s="118">
        <f>IF(NOT(D102),AH67,0)</f>
        <v>54.836541622790911</v>
      </c>
      <c r="D117" s="115">
        <f>T67</f>
        <v>13844.450316444067</v>
      </c>
      <c r="E117" s="115">
        <f>IFERROR(C117/B117*D117,0)</f>
        <v>54.836541622790911</v>
      </c>
      <c r="F117" s="115" cm="1">
        <f t="array" ref="F117">_xlfn.SWITCH($B$111,1,$C$107,2,0,3,0,4,$C$110)</f>
        <v>0</v>
      </c>
      <c r="G117" s="115">
        <f t="shared" ref="G117:G118" si="79">F117+E117</f>
        <v>54.836541622790911</v>
      </c>
      <c r="I117" s="115">
        <f>E117*B117/$B$91*1000</f>
        <v>78.410941086621364</v>
      </c>
      <c r="J117" s="115">
        <f>F117*B117/$B$91*1000</f>
        <v>0</v>
      </c>
    </row>
    <row r="118" spans="1:16">
      <c r="A118" t="s">
        <v>562</v>
      </c>
      <c r="B118" s="122">
        <f>IF(NOT(D103),B103,0)</f>
        <v>1009.0266764953479</v>
      </c>
      <c r="C118" s="118">
        <f>IF(NOT(D103),AH68,0)</f>
        <v>54.836541622790911</v>
      </c>
      <c r="D118" s="115">
        <f>T68</f>
        <v>1009.0266764953479</v>
      </c>
      <c r="E118" s="115">
        <f>IFERROR(C118/B118*D118,0)</f>
        <v>54.836541622790911</v>
      </c>
      <c r="F118" s="115" cm="1">
        <f t="array" ref="F118">_xlfn.SWITCH($B$111,1,$C$107,2,0,3,0,4,$C$110)</f>
        <v>0</v>
      </c>
      <c r="G118" s="115">
        <f t="shared" si="79"/>
        <v>54.836541622790911</v>
      </c>
    </row>
    <row r="120" spans="1:16">
      <c r="A120" s="322" t="s">
        <v>563</v>
      </c>
      <c r="B120" s="323" t="s">
        <v>542</v>
      </c>
      <c r="C120" s="323" t="s">
        <v>564</v>
      </c>
      <c r="D120" s="323" t="s">
        <v>565</v>
      </c>
      <c r="E120" s="323" t="s">
        <v>566</v>
      </c>
      <c r="F120" s="323" t="s">
        <v>132</v>
      </c>
    </row>
    <row r="121" spans="1:16">
      <c r="A121" s="323"/>
      <c r="B121" s="324">
        <f>N99</f>
        <v>364.55813541929433</v>
      </c>
      <c r="C121" s="324">
        <f>N105</f>
        <v>1784.1421211554439</v>
      </c>
      <c r="D121" s="324">
        <f>C121-B121</f>
        <v>1419.5839857361495</v>
      </c>
      <c r="E121" s="325">
        <f>B107/B91*1000</f>
        <v>5.3517050443327339</v>
      </c>
      <c r="F121" s="326">
        <f>D121/E121</f>
        <v>265.25826329674851</v>
      </c>
    </row>
    <row r="123" spans="1:16">
      <c r="A123" s="364" t="s">
        <v>567</v>
      </c>
      <c r="B123" s="365"/>
      <c r="C123" s="365"/>
      <c r="D123" s="364" t="s">
        <v>497</v>
      </c>
      <c r="E123" s="364" t="s">
        <v>498</v>
      </c>
      <c r="F123" s="364" t="s">
        <v>185</v>
      </c>
      <c r="G123" s="365"/>
      <c r="H123" s="364" t="s">
        <v>499</v>
      </c>
      <c r="I123" s="364" t="s">
        <v>499</v>
      </c>
      <c r="J123" s="365"/>
      <c r="K123" s="365"/>
      <c r="L123" s="365"/>
      <c r="M123" s="365"/>
      <c r="N123" s="365"/>
      <c r="O123" s="327"/>
      <c r="P123" s="327"/>
    </row>
    <row r="124" spans="1:16">
      <c r="A124" s="364" t="s">
        <v>500</v>
      </c>
      <c r="B124" s="365" t="s">
        <v>501</v>
      </c>
      <c r="C124" s="365"/>
      <c r="D124" s="366">
        <f>B57/B58*1000000</f>
        <v>1784.1421211554439</v>
      </c>
      <c r="E124" s="367">
        <v>0</v>
      </c>
      <c r="F124" s="368">
        <f>D78</f>
        <v>246.53457833818038</v>
      </c>
      <c r="G124" s="365" t="s">
        <v>502</v>
      </c>
      <c r="H124" s="369">
        <f>P69+F124*E124</f>
        <v>364.55813541929433</v>
      </c>
      <c r="I124" s="369">
        <f>H124</f>
        <v>364.55813541929433</v>
      </c>
      <c r="J124" s="365"/>
      <c r="K124" s="365"/>
      <c r="L124" s="365"/>
      <c r="M124" s="365"/>
      <c r="N124" s="365"/>
      <c r="O124" s="327"/>
      <c r="P124" s="327"/>
    </row>
    <row r="125" spans="1:16">
      <c r="A125" s="365"/>
      <c r="B125" s="365"/>
      <c r="C125" s="365"/>
      <c r="D125" s="365"/>
      <c r="E125" s="365"/>
      <c r="F125" s="365"/>
      <c r="G125" s="365"/>
      <c r="H125" s="365"/>
      <c r="I125" s="365"/>
      <c r="J125" s="365"/>
      <c r="K125" s="365"/>
      <c r="L125" s="365"/>
      <c r="M125" s="365"/>
      <c r="N125" s="365"/>
      <c r="O125" s="327"/>
      <c r="P125" s="327"/>
    </row>
    <row r="126" spans="1:16">
      <c r="A126" s="364" t="s">
        <v>503</v>
      </c>
      <c r="B126" s="365"/>
      <c r="C126" s="364" t="s">
        <v>504</v>
      </c>
      <c r="D126" s="364" t="s">
        <v>505</v>
      </c>
      <c r="E126" s="367">
        <v>0</v>
      </c>
      <c r="F126" s="369">
        <f>D79</f>
        <v>142.36602163266025</v>
      </c>
      <c r="G126" s="364" t="s">
        <v>321</v>
      </c>
      <c r="H126" s="364" t="s">
        <v>506</v>
      </c>
      <c r="I126" s="365"/>
      <c r="J126" s="365"/>
      <c r="K126" s="365"/>
      <c r="L126" s="365"/>
      <c r="M126" s="365"/>
      <c r="N126" s="365"/>
      <c r="O126" s="327"/>
      <c r="P126" s="327"/>
    </row>
    <row r="127" spans="1:16">
      <c r="A127" s="365" t="s">
        <v>507</v>
      </c>
      <c r="B127" s="365"/>
      <c r="C127" s="369">
        <f>P62</f>
        <v>198.91682280135231</v>
      </c>
      <c r="D127" s="365"/>
      <c r="E127" s="365"/>
      <c r="F127" s="365"/>
      <c r="G127" s="365"/>
      <c r="H127" s="369">
        <f>C127+F126*E126</f>
        <v>198.91682280135231</v>
      </c>
      <c r="I127" s="366">
        <f>H127*B59/B58*1000</f>
        <v>344.46333803045377</v>
      </c>
      <c r="J127" s="365"/>
      <c r="K127" s="365"/>
      <c r="L127" s="365"/>
      <c r="M127" s="365"/>
      <c r="N127" s="365"/>
      <c r="O127" s="327"/>
      <c r="P127" s="327"/>
    </row>
    <row r="128" spans="1:16">
      <c r="A128" s="365" t="s">
        <v>508</v>
      </c>
      <c r="B128" s="365"/>
      <c r="C128" s="365"/>
      <c r="D128" s="365" t="s">
        <v>509</v>
      </c>
      <c r="E128" s="365"/>
      <c r="F128" s="365"/>
      <c r="G128" s="365"/>
      <c r="H128" s="365"/>
      <c r="I128" s="365"/>
      <c r="J128" s="365"/>
      <c r="K128" s="365"/>
      <c r="L128" s="365"/>
      <c r="M128" s="365"/>
      <c r="N128" s="365"/>
      <c r="O128" s="327"/>
      <c r="P128" s="327"/>
    </row>
    <row r="129" spans="1:16">
      <c r="A129" s="365" t="s">
        <v>510</v>
      </c>
      <c r="B129" s="365"/>
      <c r="C129" s="369" t="s">
        <v>511</v>
      </c>
      <c r="D129" s="365" t="s">
        <v>512</v>
      </c>
      <c r="E129" s="365"/>
      <c r="F129" s="365"/>
      <c r="G129" s="365"/>
      <c r="H129" s="369" t="s">
        <v>511</v>
      </c>
      <c r="I129" s="365"/>
      <c r="J129" s="365"/>
      <c r="K129" s="365"/>
      <c r="L129" s="365"/>
      <c r="M129" s="365"/>
      <c r="N129" s="365"/>
      <c r="O129" s="327"/>
      <c r="P129" s="327"/>
    </row>
    <row r="130" spans="1:16">
      <c r="A130" s="365" t="s">
        <v>513</v>
      </c>
      <c r="B130" s="365"/>
      <c r="C130" s="365"/>
      <c r="D130" s="365"/>
      <c r="E130" s="365"/>
      <c r="F130" s="365"/>
      <c r="G130" s="365"/>
      <c r="H130" s="365"/>
      <c r="I130" s="365"/>
      <c r="J130" s="365"/>
      <c r="K130" s="365"/>
      <c r="L130" s="365"/>
      <c r="M130" s="365"/>
      <c r="N130" s="365"/>
      <c r="O130" s="327"/>
      <c r="P130" s="327"/>
    </row>
    <row r="131" spans="1:16">
      <c r="A131" s="365" t="s">
        <v>514</v>
      </c>
      <c r="B131" s="365">
        <v>2</v>
      </c>
      <c r="C131" s="365"/>
      <c r="D131" s="365"/>
      <c r="E131" s="365"/>
      <c r="F131" s="365"/>
      <c r="G131" s="365"/>
      <c r="H131" s="365"/>
      <c r="I131" s="365"/>
      <c r="J131" s="365"/>
      <c r="K131" s="365"/>
      <c r="L131" s="365"/>
      <c r="M131" s="365"/>
      <c r="N131" s="365"/>
      <c r="O131" s="327"/>
      <c r="P131" s="327"/>
    </row>
    <row r="132" spans="1:16">
      <c r="A132" s="365"/>
      <c r="B132" s="365"/>
      <c r="C132" s="364" t="s">
        <v>132</v>
      </c>
      <c r="D132" s="365" t="s">
        <v>515</v>
      </c>
      <c r="E132" s="365"/>
      <c r="F132" s="365"/>
      <c r="G132" s="365"/>
      <c r="H132" s="365"/>
      <c r="I132" s="365"/>
      <c r="J132" s="365"/>
      <c r="K132" s="365"/>
      <c r="L132" s="365"/>
      <c r="M132" s="365"/>
      <c r="N132" s="365"/>
      <c r="O132" s="327"/>
      <c r="P132" s="327"/>
    </row>
    <row r="133" spans="1:16">
      <c r="A133" s="365" t="s">
        <v>517</v>
      </c>
      <c r="B133" s="370">
        <f>B91</f>
        <v>9682089.8397797588</v>
      </c>
      <c r="C133" s="365"/>
      <c r="D133" s="371">
        <f>I127</f>
        <v>344.46333803045377</v>
      </c>
      <c r="E133" s="364" t="s">
        <v>498</v>
      </c>
      <c r="F133" s="364"/>
      <c r="G133" s="365"/>
      <c r="H133" s="365"/>
      <c r="I133" s="364" t="s">
        <v>499</v>
      </c>
      <c r="J133" s="365"/>
      <c r="K133" s="364" t="s">
        <v>518</v>
      </c>
      <c r="L133" s="365" t="s">
        <v>519</v>
      </c>
      <c r="M133" s="364" t="s">
        <v>520</v>
      </c>
      <c r="N133" s="365"/>
      <c r="O133" s="327"/>
      <c r="P133" s="327"/>
    </row>
    <row r="134" spans="1:16">
      <c r="A134" s="364" t="s">
        <v>522</v>
      </c>
      <c r="B134" s="365" t="s">
        <v>523</v>
      </c>
      <c r="C134" s="365" t="s">
        <v>524</v>
      </c>
      <c r="D134" s="364" t="s">
        <v>132</v>
      </c>
      <c r="E134" s="365" t="s">
        <v>525</v>
      </c>
      <c r="F134" s="365" t="s">
        <v>526</v>
      </c>
      <c r="G134" s="365"/>
      <c r="H134" s="365" t="s">
        <v>525</v>
      </c>
      <c r="I134" s="365" t="s">
        <v>526</v>
      </c>
      <c r="J134" s="365"/>
      <c r="K134" s="365"/>
      <c r="L134" s="365"/>
      <c r="M134" s="365"/>
      <c r="N134" s="365"/>
      <c r="O134" s="327"/>
      <c r="P134" s="327"/>
    </row>
    <row r="135" spans="1:16">
      <c r="A135" s="365" t="s">
        <v>527</v>
      </c>
      <c r="B135" s="368">
        <f>B63</f>
        <v>159.28108499999996</v>
      </c>
      <c r="C135" s="369">
        <f>P63</f>
        <v>484.83654162279089</v>
      </c>
      <c r="D135" s="372">
        <f>$D$133*$B$133/B135/1000</f>
        <v>20938.612926458143</v>
      </c>
      <c r="E135" s="369">
        <f>C135</f>
        <v>484.83654162279089</v>
      </c>
      <c r="F135" s="369">
        <f>D135+C135</f>
        <v>21423.449468080933</v>
      </c>
      <c r="G135" s="365"/>
      <c r="H135" s="369">
        <f>E135*$B135*1000/$B$133</f>
        <v>7.9760972760280078</v>
      </c>
      <c r="I135" s="369">
        <f>F135*$B135*1000/$B$133</f>
        <v>352.43943530648181</v>
      </c>
      <c r="J135" s="369"/>
      <c r="K135" s="366">
        <f>IF(B153=1,C149,IF(B153=2,C150,0))</f>
        <v>0</v>
      </c>
      <c r="L135" s="366">
        <f>IF($B$131=2,F135,IF($B$131=3,E135,0))</f>
        <v>21423.449468080933</v>
      </c>
      <c r="M135" s="369">
        <f>IF(OR($B$131=2,$B$131=3),L135+K135,0)</f>
        <v>21423.449468080933</v>
      </c>
      <c r="N135" s="365"/>
      <c r="O135" s="328"/>
      <c r="P135" s="327"/>
    </row>
    <row r="136" spans="1:16">
      <c r="A136" s="365" t="s">
        <v>528</v>
      </c>
      <c r="B136" s="368">
        <f>B64+B135</f>
        <v>1366.4640450000002</v>
      </c>
      <c r="C136" s="368">
        <f>(C135*B135+P64*B64)/(B136)</f>
        <v>484.83654162279083</v>
      </c>
      <c r="D136" s="372">
        <f t="shared" ref="D136:D137" si="80">$D$133*$B$133/B136/1000</f>
        <v>2440.6972122865309</v>
      </c>
      <c r="E136" s="369">
        <f t="shared" ref="E136:E137" si="81">C136</f>
        <v>484.83654162279083</v>
      </c>
      <c r="F136" s="369">
        <f t="shared" ref="F136:F137" si="82">D136+C136</f>
        <v>2925.5337539093216</v>
      </c>
      <c r="G136" s="365"/>
      <c r="H136" s="369">
        <f t="shared" ref="H136:H137" si="83">E136*$B136*1000/$B$133</f>
        <v>68.426518736450802</v>
      </c>
      <c r="I136" s="369">
        <f t="shared" ref="I136:I137" si="84">F136*$B136*1000/$B$133</f>
        <v>412.88985676690459</v>
      </c>
      <c r="J136" s="369"/>
      <c r="K136" s="366">
        <f>K135</f>
        <v>0</v>
      </c>
      <c r="L136" s="366">
        <f t="shared" ref="L136:L137" si="85">IF($B$131=2,F136,IF($B$131=3,E136,0))</f>
        <v>2925.5337539093216</v>
      </c>
      <c r="M136" s="369">
        <f t="shared" ref="M136:M137" si="86">IF(OR($B$131=2,$B$131=3),L136+K136,0)</f>
        <v>2925.5337539093216</v>
      </c>
      <c r="N136" s="365"/>
      <c r="O136" s="328"/>
      <c r="P136" s="327"/>
    </row>
    <row r="137" spans="1:16">
      <c r="A137" s="365" t="s">
        <v>529</v>
      </c>
      <c r="B137" s="368">
        <f>B65+B136</f>
        <v>5725.7358450000011</v>
      </c>
      <c r="C137" s="368">
        <f>(C136*B136+B65*P65)/(B137)</f>
        <v>286.88632200346439</v>
      </c>
      <c r="D137" s="372">
        <f t="shared" si="80"/>
        <v>582.47971537731257</v>
      </c>
      <c r="E137" s="369">
        <f t="shared" si="81"/>
        <v>286.88632200346439</v>
      </c>
      <c r="F137" s="369">
        <f t="shared" si="82"/>
        <v>869.36603738077702</v>
      </c>
      <c r="G137" s="365"/>
      <c r="H137" s="369">
        <f t="shared" si="83"/>
        <v>169.65710136116792</v>
      </c>
      <c r="I137" s="369">
        <f t="shared" si="84"/>
        <v>514.12043939162174</v>
      </c>
      <c r="J137" s="369"/>
      <c r="K137" s="366">
        <f>K136</f>
        <v>0</v>
      </c>
      <c r="L137" s="366">
        <f t="shared" si="85"/>
        <v>869.36603738077702</v>
      </c>
      <c r="M137" s="369">
        <f t="shared" si="86"/>
        <v>869.36603738077702</v>
      </c>
      <c r="N137" s="365"/>
      <c r="O137" s="328"/>
      <c r="P137" s="327"/>
    </row>
    <row r="138" spans="1:16">
      <c r="A138" s="365" t="s">
        <v>514</v>
      </c>
      <c r="B138" s="365">
        <v>2</v>
      </c>
      <c r="C138" s="365"/>
      <c r="D138" s="365"/>
      <c r="E138" s="373"/>
      <c r="F138" s="365"/>
      <c r="G138" s="365"/>
      <c r="H138" s="365"/>
      <c r="I138" s="365"/>
      <c r="J138" s="365"/>
      <c r="K138" s="368"/>
      <c r="L138" s="365"/>
      <c r="M138" s="365"/>
      <c r="N138" s="365"/>
      <c r="O138" s="327"/>
      <c r="P138" s="327"/>
    </row>
    <row r="139" spans="1:16">
      <c r="A139" s="365" t="s">
        <v>530</v>
      </c>
      <c r="B139" s="368">
        <f>B137</f>
        <v>5725.7358450000011</v>
      </c>
      <c r="C139" s="365"/>
      <c r="D139" s="365"/>
      <c r="E139" s="365"/>
      <c r="F139" s="365"/>
      <c r="G139" s="365"/>
      <c r="H139" s="365"/>
      <c r="I139" s="369">
        <f>H137</f>
        <v>169.65710136116792</v>
      </c>
      <c r="J139" s="365"/>
      <c r="K139" s="365"/>
      <c r="L139" s="365"/>
      <c r="M139" s="365"/>
      <c r="N139" s="365"/>
      <c r="O139" s="327"/>
      <c r="P139" s="327"/>
    </row>
    <row r="140" spans="1:16">
      <c r="A140" s="365" t="s">
        <v>531</v>
      </c>
      <c r="B140" s="373" cm="1">
        <f t="array" ref="B140">IF(OR(B131=4,B131=1),B139,_xlfn.SWITCH(B138,1,B137-B135,2,B137-B136,3,0))</f>
        <v>4359.2718000000004</v>
      </c>
      <c r="C140" s="365"/>
      <c r="D140" s="365"/>
      <c r="E140" s="365"/>
      <c r="F140" s="365"/>
      <c r="G140" s="365" t="s">
        <v>532</v>
      </c>
      <c r="H140" s="365"/>
      <c r="I140" s="369" cm="1">
        <f t="array" ref="I140">IF(OR(B131=4,B131=1),I139,_xlfn.SWITCH(B138,1,H137-H135,2,H137-H136,3,0))</f>
        <v>101.23058262471712</v>
      </c>
      <c r="J140" s="365"/>
      <c r="K140" s="310" t="s">
        <v>533</v>
      </c>
      <c r="L140" s="311" t="s">
        <v>534</v>
      </c>
      <c r="M140" s="311"/>
      <c r="N140" s="310" t="s">
        <v>535</v>
      </c>
      <c r="O140" s="311"/>
      <c r="P140" s="327"/>
    </row>
    <row r="141" spans="1:16">
      <c r="A141" s="364" t="s">
        <v>537</v>
      </c>
      <c r="B141" s="364" t="s">
        <v>523</v>
      </c>
      <c r="C141" s="364" t="s">
        <v>538</v>
      </c>
      <c r="D141" s="364" t="s">
        <v>539</v>
      </c>
      <c r="E141" s="365"/>
      <c r="F141" s="365"/>
      <c r="G141" s="364" t="s">
        <v>132</v>
      </c>
      <c r="H141" s="364" t="s">
        <v>540</v>
      </c>
      <c r="I141" s="364" t="s">
        <v>541</v>
      </c>
      <c r="J141" s="365"/>
      <c r="K141" s="311" t="s">
        <v>542</v>
      </c>
      <c r="L141" s="311">
        <v>1</v>
      </c>
      <c r="M141" s="313">
        <f>I124</f>
        <v>364.55813541929433</v>
      </c>
      <c r="N141" s="313">
        <f>M141*L141</f>
        <v>364.55813541929433</v>
      </c>
      <c r="O141" s="311"/>
      <c r="P141" s="327"/>
    </row>
    <row r="142" spans="1:16">
      <c r="A142" s="365" t="s">
        <v>543</v>
      </c>
      <c r="B142" s="365"/>
      <c r="C142" s="369">
        <f>I127</f>
        <v>344.46333803045377</v>
      </c>
      <c r="D142" s="365" t="b">
        <f>B131=4</f>
        <v>0</v>
      </c>
      <c r="E142" s="367"/>
      <c r="F142" s="365"/>
      <c r="G142" s="365"/>
      <c r="H142" s="365"/>
      <c r="I142" s="366">
        <f>IF(D142,C142,0)</f>
        <v>0</v>
      </c>
      <c r="J142" s="365"/>
      <c r="K142" s="311" t="s">
        <v>543</v>
      </c>
      <c r="L142" s="312">
        <f>IF(OR(B131=1,B131=3),B59/B58*1000,0)</f>
        <v>0</v>
      </c>
      <c r="M142" s="314">
        <f>H127</f>
        <v>198.91682280135231</v>
      </c>
      <c r="N142" s="313">
        <f t="shared" ref="N142" si="87">M142*L142</f>
        <v>0</v>
      </c>
      <c r="O142" s="311"/>
      <c r="P142" s="327"/>
    </row>
    <row r="143" spans="1:16">
      <c r="A143" s="365" t="s">
        <v>544</v>
      </c>
      <c r="B143" s="368">
        <f>B140</f>
        <v>4359.2718000000004</v>
      </c>
      <c r="C143" s="373">
        <f>IF(OR(B131=1,B131=4),I139,I140)</f>
        <v>101.23058262471712</v>
      </c>
      <c r="D143" s="369" t="b">
        <v>1</v>
      </c>
      <c r="E143" s="369"/>
      <c r="F143" s="365"/>
      <c r="G143" s="365"/>
      <c r="H143" s="365">
        <f>D143*B143</f>
        <v>4359.2718000000004</v>
      </c>
      <c r="I143" s="366">
        <f t="shared" ref="I143:I145" si="88">IF(D143,C143,0)</f>
        <v>101.23058262471712</v>
      </c>
      <c r="J143" s="365"/>
      <c r="K143" s="311" t="s">
        <v>544</v>
      </c>
      <c r="L143" s="315" cm="1">
        <f t="array" ref="L143">_xlfn.SWITCH(B138,1,B135,2,B136,3,B137)/B133*1000</f>
        <v>0.14113317141365048</v>
      </c>
      <c r="M143" s="314" cm="1">
        <f t="array" ref="M143">_xlfn.SWITCH(B138,1,M135,2,M136,3,M137)+Q70</f>
        <v>2991.7298570560815</v>
      </c>
      <c r="N143" s="313">
        <f>M143*L143</f>
        <v>422.23232273923202</v>
      </c>
      <c r="O143" s="311"/>
      <c r="P143" s="327"/>
    </row>
    <row r="144" spans="1:16">
      <c r="A144" s="365" t="s">
        <v>281</v>
      </c>
      <c r="B144" s="368">
        <f>B67</f>
        <v>13844.450316444065</v>
      </c>
      <c r="C144" s="366">
        <f>B144*G144*1000/$B$133</f>
        <v>78.410941086621349</v>
      </c>
      <c r="D144" s="365" t="b">
        <v>0</v>
      </c>
      <c r="E144" s="369"/>
      <c r="F144" s="365"/>
      <c r="G144" s="369">
        <f>P67</f>
        <v>54.836541622790911</v>
      </c>
      <c r="H144" s="365">
        <f t="shared" ref="H144:H145" si="89">D144*B144</f>
        <v>0</v>
      </c>
      <c r="I144" s="366">
        <f t="shared" si="88"/>
        <v>0</v>
      </c>
      <c r="J144" s="365"/>
      <c r="K144" s="311" t="s">
        <v>545</v>
      </c>
      <c r="L144" s="312">
        <f>B158/$B$133*1000</f>
        <v>3.676452975167015</v>
      </c>
      <c r="M144" s="315">
        <f>G158+Q70</f>
        <v>248.39863160891917</v>
      </c>
      <c r="N144" s="313">
        <f t="shared" ref="N144:N146" si="90">M144*L144</f>
        <v>913.22588820602618</v>
      </c>
      <c r="O144" s="311"/>
      <c r="P144" s="327"/>
    </row>
    <row r="145" spans="1:16">
      <c r="A145" s="365" t="s">
        <v>546</v>
      </c>
      <c r="B145" s="368">
        <f>B68</f>
        <v>1009.0266764953479</v>
      </c>
      <c r="C145" s="366">
        <f>B145*G145*1000/$B$133</f>
        <v>5.7148337042700046</v>
      </c>
      <c r="D145" s="365" t="b">
        <v>0</v>
      </c>
      <c r="E145" s="369"/>
      <c r="F145" s="365"/>
      <c r="G145" s="369">
        <f>P68</f>
        <v>54.836541622790911</v>
      </c>
      <c r="H145" s="373">
        <f t="shared" si="89"/>
        <v>0</v>
      </c>
      <c r="I145" s="366">
        <f t="shared" si="88"/>
        <v>0</v>
      </c>
      <c r="J145" s="365"/>
      <c r="K145" s="311" t="s">
        <v>281</v>
      </c>
      <c r="L145" s="312">
        <f t="shared" ref="L145:L146" si="91">B159/$B$133*1000</f>
        <v>1.4299031041379997</v>
      </c>
      <c r="M145" s="315">
        <f>G159</f>
        <v>54.836541622790904</v>
      </c>
      <c r="N145" s="313">
        <f t="shared" si="90"/>
        <v>78.410941086621335</v>
      </c>
      <c r="O145" s="311"/>
      <c r="P145" s="327"/>
    </row>
    <row r="146" spans="1:16">
      <c r="A146" s="365" t="s">
        <v>466</v>
      </c>
      <c r="B146" s="365"/>
      <c r="C146" s="365"/>
      <c r="D146" s="365" t="s">
        <v>547</v>
      </c>
      <c r="E146" s="367">
        <v>1</v>
      </c>
      <c r="F146" s="365"/>
      <c r="G146" s="365"/>
      <c r="H146" s="365"/>
      <c r="I146" s="369">
        <f>D78*E146</f>
        <v>246.53457833818038</v>
      </c>
      <c r="J146" s="365"/>
      <c r="K146" s="311" t="s">
        <v>546</v>
      </c>
      <c r="L146" s="312">
        <f t="shared" si="91"/>
        <v>0.10421579361406758</v>
      </c>
      <c r="M146" s="315">
        <f>G160</f>
        <v>54.836541622790911</v>
      </c>
      <c r="N146" s="313">
        <f t="shared" si="90"/>
        <v>5.7148337042700037</v>
      </c>
      <c r="O146" s="311"/>
      <c r="P146" s="327"/>
    </row>
    <row r="147" spans="1:16">
      <c r="A147" s="365"/>
      <c r="B147" s="365"/>
      <c r="C147" s="365"/>
      <c r="D147" s="365"/>
      <c r="E147" s="365"/>
      <c r="F147" s="365"/>
      <c r="G147" s="365"/>
      <c r="H147" s="374" t="s">
        <v>548</v>
      </c>
      <c r="I147" s="369">
        <f>SUM(I142:I146)</f>
        <v>347.76516096289748</v>
      </c>
      <c r="J147" s="365"/>
      <c r="K147" s="311"/>
      <c r="L147" s="311"/>
      <c r="M147" s="316" t="s">
        <v>548</v>
      </c>
      <c r="N147" s="317">
        <f>SUM(N141:N146)</f>
        <v>1784.1421211554439</v>
      </c>
      <c r="O147" s="311"/>
      <c r="P147" s="327"/>
    </row>
    <row r="148" spans="1:16">
      <c r="A148" s="364" t="s">
        <v>549</v>
      </c>
      <c r="B148" s="365"/>
      <c r="C148" s="364" t="s">
        <v>550</v>
      </c>
      <c r="D148" s="364"/>
      <c r="E148" s="364"/>
      <c r="F148" s="364"/>
      <c r="G148" s="364"/>
      <c r="H148" s="364"/>
      <c r="I148" s="364"/>
      <c r="J148" s="364"/>
      <c r="K148" s="311"/>
      <c r="L148" s="311"/>
      <c r="M148" s="311"/>
      <c r="N148" s="311" t="str">
        <f>D123</f>
        <v>Total expected per customer</v>
      </c>
      <c r="O148" s="311"/>
      <c r="P148" s="327"/>
    </row>
    <row r="149" spans="1:16">
      <c r="A149" s="365" t="s">
        <v>551</v>
      </c>
      <c r="B149" s="368">
        <f>SUM($B$63:$B$68)</f>
        <v>51815.689035232041</v>
      </c>
      <c r="C149" s="366">
        <f>$I$147/B149*$B$133/1000</f>
        <v>64.982124030017033</v>
      </c>
      <c r="D149" s="369"/>
      <c r="E149" s="368"/>
      <c r="F149" s="369"/>
      <c r="G149" s="369"/>
      <c r="H149" s="369"/>
      <c r="I149" s="369"/>
      <c r="J149" s="369"/>
      <c r="K149" s="311"/>
      <c r="L149" s="311"/>
      <c r="M149" s="311"/>
      <c r="N149" s="314">
        <f>D124</f>
        <v>1784.1421211554439</v>
      </c>
      <c r="O149" s="311"/>
      <c r="P149" s="327"/>
    </row>
    <row r="150" spans="1:16">
      <c r="A150" s="365" t="s">
        <v>552</v>
      </c>
      <c r="B150" s="368">
        <f>SUM($B$63:$B$66)+H144+H145</f>
        <v>36962.212042292624</v>
      </c>
      <c r="C150" s="366">
        <f>$I$147/B150*$B$133/1000</f>
        <v>91.095563429363267</v>
      </c>
      <c r="D150" s="369"/>
      <c r="E150" s="368"/>
      <c r="F150" s="369"/>
      <c r="G150" s="369"/>
      <c r="H150" s="369"/>
      <c r="I150" s="369"/>
      <c r="J150" s="369"/>
      <c r="K150" s="327"/>
      <c r="L150" s="327"/>
      <c r="M150" s="327"/>
      <c r="N150" s="329">
        <f>N107</f>
        <v>1784.1421211554439</v>
      </c>
      <c r="O150" s="327" t="s">
        <v>568</v>
      </c>
      <c r="P150" s="327"/>
    </row>
    <row r="151" spans="1:16">
      <c r="A151" s="365" t="s">
        <v>553</v>
      </c>
      <c r="B151" s="368">
        <f>B66+H143+H144+H145</f>
        <v>35595.747997292623</v>
      </c>
      <c r="C151" s="366">
        <f t="shared" ref="C151:C152" si="92">$I$147/B151*$B$133/1000</f>
        <v>94.592576951728603</v>
      </c>
      <c r="D151" s="369"/>
      <c r="E151" s="368"/>
      <c r="F151" s="369"/>
      <c r="G151" s="369"/>
      <c r="H151" s="369"/>
      <c r="I151" s="369"/>
      <c r="J151" s="369"/>
      <c r="K151" s="327"/>
      <c r="L151" s="327"/>
      <c r="M151" s="327"/>
      <c r="N151" s="327"/>
      <c r="O151" s="327"/>
      <c r="P151" s="327"/>
    </row>
    <row r="152" spans="1:16">
      <c r="A152" s="365" t="s">
        <v>554</v>
      </c>
      <c r="B152" s="368">
        <f>SUM(B66:B68)+H143</f>
        <v>50449.22499023204</v>
      </c>
      <c r="C152" s="366">
        <f t="shared" si="92"/>
        <v>66.742225123184298</v>
      </c>
      <c r="D152" s="369"/>
      <c r="E152" s="368"/>
      <c r="F152" s="369"/>
      <c r="G152" s="369"/>
      <c r="H152" s="369"/>
      <c r="I152" s="369"/>
      <c r="J152" s="369"/>
      <c r="K152" s="327"/>
      <c r="L152" s="327"/>
      <c r="M152" s="327"/>
      <c r="N152" s="327"/>
      <c r="O152" s="327"/>
      <c r="P152" s="327"/>
    </row>
    <row r="153" spans="1:16">
      <c r="A153" s="365" t="s">
        <v>514</v>
      </c>
      <c r="B153" s="365">
        <v>3</v>
      </c>
      <c r="C153" s="365"/>
      <c r="D153" s="365"/>
      <c r="E153" s="365"/>
      <c r="F153" s="365"/>
      <c r="G153" s="365"/>
      <c r="H153" s="365"/>
      <c r="I153" s="365"/>
      <c r="J153" s="365"/>
      <c r="K153" s="329"/>
      <c r="L153" s="327"/>
      <c r="M153" s="327"/>
      <c r="N153" s="327"/>
      <c r="O153" s="327"/>
      <c r="P153" s="327"/>
    </row>
    <row r="154" spans="1:16">
      <c r="A154" s="365"/>
      <c r="B154" s="365"/>
      <c r="C154" s="365"/>
      <c r="D154" s="365"/>
      <c r="E154" s="365"/>
      <c r="F154" s="365"/>
      <c r="G154" s="365"/>
      <c r="H154" s="365"/>
      <c r="I154" s="365"/>
      <c r="J154" s="365"/>
      <c r="K154" s="327"/>
      <c r="L154" s="327"/>
      <c r="M154" s="327"/>
      <c r="N154" s="327"/>
      <c r="O154" s="327"/>
      <c r="P154" s="327"/>
    </row>
    <row r="155" spans="1:16">
      <c r="A155" s="365"/>
      <c r="B155" s="365"/>
      <c r="C155" s="365"/>
      <c r="D155" s="365"/>
      <c r="E155" s="365"/>
      <c r="F155" s="365"/>
      <c r="G155" s="365"/>
      <c r="H155" s="365"/>
      <c r="I155" s="365"/>
      <c r="J155" s="365"/>
      <c r="K155" s="327"/>
      <c r="L155" s="327"/>
      <c r="M155" s="327"/>
      <c r="N155" s="327"/>
      <c r="O155" s="327"/>
      <c r="P155" s="327"/>
    </row>
    <row r="156" spans="1:16">
      <c r="A156" s="365"/>
      <c r="B156" s="365"/>
      <c r="C156" s="365"/>
      <c r="D156" s="365"/>
      <c r="E156" s="365"/>
      <c r="F156" s="365"/>
      <c r="G156" s="365"/>
      <c r="H156" s="365"/>
      <c r="I156" s="365"/>
      <c r="J156" s="365"/>
      <c r="K156" s="327"/>
      <c r="L156" s="327"/>
      <c r="M156" s="327"/>
      <c r="N156" s="327"/>
      <c r="O156" s="327"/>
      <c r="P156" s="327"/>
    </row>
    <row r="157" spans="1:16">
      <c r="A157" s="365"/>
      <c r="B157" s="364" t="s">
        <v>523</v>
      </c>
      <c r="C157" s="364" t="s">
        <v>555</v>
      </c>
      <c r="D157" s="364" t="s">
        <v>556</v>
      </c>
      <c r="E157" s="364" t="s">
        <v>557</v>
      </c>
      <c r="F157" s="364" t="s">
        <v>558</v>
      </c>
      <c r="G157" s="364" t="s">
        <v>559</v>
      </c>
      <c r="H157" s="365"/>
      <c r="I157" s="365"/>
      <c r="J157" s="365"/>
      <c r="K157" s="327"/>
      <c r="L157" s="327"/>
      <c r="M157" s="327"/>
      <c r="N157" s="327"/>
      <c r="O157" s="327"/>
      <c r="P157" s="327"/>
    </row>
    <row r="158" spans="1:16">
      <c r="A158" s="365" t="s">
        <v>560</v>
      </c>
      <c r="B158" s="368">
        <f>B151</f>
        <v>35595.747997292623</v>
      </c>
      <c r="C158" s="369">
        <f>P66</f>
        <v>99.836541622790904</v>
      </c>
      <c r="D158" s="368">
        <f>B66</f>
        <v>31236.476197292624</v>
      </c>
      <c r="E158" s="368">
        <f>C158/B158*D158</f>
        <v>87.609951510430832</v>
      </c>
      <c r="F158" s="368" cm="1">
        <f t="array" ref="F158">_xlfn.SWITCH($B$153,1,$C$149,2,$C$150,3,$C$151,4,$C$152)</f>
        <v>94.592576951728603</v>
      </c>
      <c r="G158" s="368">
        <f>F158+E158</f>
        <v>182.20252846215942</v>
      </c>
      <c r="H158" s="365"/>
      <c r="I158" s="368">
        <f>E158*B158/$B$133*1000</f>
        <v>322.09386688476133</v>
      </c>
      <c r="J158" s="368">
        <f>F158*B158/$B$133*1000</f>
        <v>347.76516096289743</v>
      </c>
      <c r="K158" s="327"/>
      <c r="L158" s="327"/>
      <c r="M158" s="327"/>
      <c r="N158" s="327"/>
      <c r="O158" s="327"/>
      <c r="P158" s="327"/>
    </row>
    <row r="159" spans="1:16">
      <c r="A159" s="365" t="s">
        <v>561</v>
      </c>
      <c r="B159" s="373">
        <f>IF(NOT(D144),B144,0)</f>
        <v>13844.450316444065</v>
      </c>
      <c r="C159" s="369">
        <f>IF(NOT(D144),P67,0)</f>
        <v>54.836541622790911</v>
      </c>
      <c r="D159" s="368">
        <f t="shared" ref="D159:D160" si="93">B67</f>
        <v>13844.450316444065</v>
      </c>
      <c r="E159" s="368">
        <f>IFERROR(C159/B159*D159,0)</f>
        <v>54.836541622790904</v>
      </c>
      <c r="F159" s="368" cm="1">
        <f t="array" ref="F159">_xlfn.SWITCH(B153,1,C149,2,0,3,0,4,C152)</f>
        <v>0</v>
      </c>
      <c r="G159" s="368">
        <f t="shared" ref="G159:G160" si="94">F159+E159</f>
        <v>54.836541622790904</v>
      </c>
      <c r="H159" s="365"/>
      <c r="I159" s="368">
        <f>E159*B159/$B$133*1000</f>
        <v>78.410941086621335</v>
      </c>
      <c r="J159" s="368">
        <f>F159*B159/$B$133*1000</f>
        <v>0</v>
      </c>
      <c r="K159" s="327"/>
      <c r="L159" s="327"/>
      <c r="M159" s="327"/>
      <c r="N159" s="327"/>
      <c r="O159" s="327"/>
      <c r="P159" s="327"/>
    </row>
    <row r="160" spans="1:16">
      <c r="A160" s="365" t="s">
        <v>562</v>
      </c>
      <c r="B160" s="373">
        <f>IF(NOT(D145),B145,0)</f>
        <v>1009.0266764953479</v>
      </c>
      <c r="C160" s="369">
        <f>IF(NOT(D145),P68,0)</f>
        <v>54.836541622790911</v>
      </c>
      <c r="D160" s="368">
        <f t="shared" si="93"/>
        <v>1009.0266764953479</v>
      </c>
      <c r="E160" s="368">
        <f>IFERROR(C160/B160*D160,0)</f>
        <v>54.836541622790911</v>
      </c>
      <c r="F160" s="368" cm="1">
        <f t="array" ref="F160">_xlfn.SWITCH(B153,1,C149,2,0,3,0,4,C152)</f>
        <v>0</v>
      </c>
      <c r="G160" s="368">
        <f t="shared" si="94"/>
        <v>54.836541622790911</v>
      </c>
      <c r="H160" s="365"/>
      <c r="I160" s="365"/>
      <c r="J160" s="365"/>
      <c r="K160" s="327"/>
      <c r="L160" s="327"/>
      <c r="M160" s="327"/>
      <c r="N160" s="327"/>
      <c r="O160" s="327"/>
      <c r="P160" s="327"/>
    </row>
    <row r="161" spans="1:33">
      <c r="A161" s="365"/>
      <c r="B161" s="365"/>
      <c r="C161" s="365"/>
      <c r="D161" s="365"/>
      <c r="E161" s="365"/>
      <c r="F161" s="365"/>
      <c r="G161" s="365"/>
      <c r="H161" s="365"/>
      <c r="I161" s="365"/>
      <c r="J161" s="365"/>
      <c r="K161" s="327"/>
      <c r="L161" s="327"/>
      <c r="M161" s="327"/>
      <c r="N161" s="327"/>
      <c r="O161" s="327"/>
      <c r="P161" s="327"/>
    </row>
    <row r="162" spans="1:33">
      <c r="A162" s="327"/>
      <c r="B162" s="327"/>
      <c r="C162" s="327"/>
      <c r="D162" s="327"/>
      <c r="E162" s="327"/>
      <c r="F162" s="327"/>
      <c r="G162" s="327"/>
      <c r="H162" s="327"/>
      <c r="I162" s="327"/>
      <c r="J162" s="327"/>
      <c r="K162" s="327"/>
      <c r="L162" s="327"/>
      <c r="M162" s="327"/>
      <c r="N162" s="327"/>
      <c r="O162" s="327"/>
      <c r="P162" s="327"/>
    </row>
    <row r="163" spans="1:33">
      <c r="A163" s="112" t="s">
        <v>569</v>
      </c>
    </row>
    <row r="164" spans="1:33">
      <c r="A164" s="387"/>
      <c r="B164" s="136"/>
      <c r="C164" s="136" t="s">
        <v>570</v>
      </c>
      <c r="D164" s="136"/>
      <c r="E164" s="136"/>
      <c r="F164" s="388"/>
      <c r="G164" s="387"/>
      <c r="H164" s="420" t="s">
        <v>571</v>
      </c>
      <c r="I164" s="420"/>
      <c r="J164" s="420"/>
      <c r="K164" s="420"/>
      <c r="L164" s="389"/>
      <c r="M164" s="389"/>
      <c r="N164" s="389"/>
      <c r="O164" s="389"/>
      <c r="P164" s="389"/>
      <c r="Q164" s="389"/>
      <c r="R164" s="389"/>
      <c r="S164" s="389"/>
      <c r="T164" s="389"/>
      <c r="U164" s="389"/>
      <c r="V164" s="389"/>
      <c r="W164" s="389"/>
      <c r="X164" s="389"/>
      <c r="Y164" s="389"/>
      <c r="Z164" s="389"/>
      <c r="AA164" s="389"/>
      <c r="AB164" s="389"/>
    </row>
    <row r="165" spans="1:33">
      <c r="A165" s="389"/>
      <c r="B165" s="420" t="s">
        <v>572</v>
      </c>
      <c r="C165" s="420"/>
      <c r="D165" s="421" t="s">
        <v>144</v>
      </c>
      <c r="E165" s="421"/>
      <c r="F165" s="420" t="s">
        <v>573</v>
      </c>
      <c r="G165" s="420"/>
      <c r="H165" s="389"/>
      <c r="I165" s="420" t="s">
        <v>574</v>
      </c>
      <c r="J165" s="420"/>
      <c r="K165" s="420" t="s">
        <v>575</v>
      </c>
      <c r="L165" s="420"/>
      <c r="M165" s="420" t="s">
        <v>576</v>
      </c>
      <c r="N165" s="420"/>
      <c r="O165" s="420" t="s">
        <v>577</v>
      </c>
      <c r="P165" s="420"/>
      <c r="Q165" s="420"/>
      <c r="R165" s="420"/>
      <c r="S165" s="420" t="s">
        <v>578</v>
      </c>
      <c r="T165" s="420"/>
      <c r="U165" s="420"/>
      <c r="V165" s="420"/>
      <c r="W165" s="389"/>
      <c r="X165" s="389" t="s">
        <v>579</v>
      </c>
      <c r="Z165" s="389" t="s">
        <v>580</v>
      </c>
      <c r="AA165" s="389" t="s">
        <v>581</v>
      </c>
      <c r="AB165" s="389" t="s">
        <v>582</v>
      </c>
      <c r="AC165" s="389" t="s">
        <v>583</v>
      </c>
      <c r="AD165" s="389" t="s">
        <v>584</v>
      </c>
      <c r="AF165" s="389" t="s">
        <v>585</v>
      </c>
      <c r="AG165" s="389" t="s">
        <v>586</v>
      </c>
    </row>
    <row r="166" spans="1:33">
      <c r="A166" s="389"/>
      <c r="B166" s="30" t="s">
        <v>587</v>
      </c>
      <c r="C166" s="389" t="s">
        <v>588</v>
      </c>
      <c r="D166" s="389" t="s">
        <v>589</v>
      </c>
      <c r="E166" s="389" t="s">
        <v>590</v>
      </c>
      <c r="F166" s="389" t="s">
        <v>589</v>
      </c>
      <c r="G166" s="389" t="s">
        <v>590</v>
      </c>
      <c r="H166" s="389"/>
      <c r="I166" s="389" t="s">
        <v>589</v>
      </c>
      <c r="J166" s="389" t="s">
        <v>590</v>
      </c>
      <c r="K166" s="389" t="s">
        <v>589</v>
      </c>
      <c r="L166" s="389" t="s">
        <v>590</v>
      </c>
      <c r="M166" s="389" t="s">
        <v>591</v>
      </c>
      <c r="N166" s="389" t="s">
        <v>592</v>
      </c>
      <c r="O166" s="389" t="s">
        <v>593</v>
      </c>
      <c r="P166" s="389" t="s">
        <v>594</v>
      </c>
      <c r="Q166" s="389" t="s">
        <v>195</v>
      </c>
      <c r="R166" s="389" t="s">
        <v>595</v>
      </c>
      <c r="S166" s="389" t="s">
        <v>593</v>
      </c>
      <c r="T166" s="389" t="s">
        <v>594</v>
      </c>
      <c r="U166" s="389" t="s">
        <v>195</v>
      </c>
      <c r="V166" s="389" t="s">
        <v>595</v>
      </c>
      <c r="W166" s="389"/>
      <c r="X166" s="389" t="s">
        <v>596</v>
      </c>
      <c r="Y166" s="389" t="s">
        <v>597</v>
      </c>
      <c r="Z166" s="389"/>
      <c r="AA166" s="389"/>
      <c r="AB166" s="389"/>
    </row>
    <row r="167" spans="1:33">
      <c r="A167" s="389" t="s">
        <v>598</v>
      </c>
      <c r="B167" s="390"/>
      <c r="C167" s="390"/>
      <c r="D167" s="389"/>
      <c r="E167" s="389"/>
      <c r="F167" s="389"/>
      <c r="G167" s="389"/>
      <c r="H167" s="389"/>
      <c r="I167" s="389"/>
      <c r="J167" s="389"/>
      <c r="K167" s="389"/>
      <c r="L167" s="389"/>
      <c r="M167" s="389"/>
      <c r="N167" s="389"/>
      <c r="O167" s="389"/>
      <c r="P167" s="389">
        <f>SUM(O168:O175)</f>
        <v>0.36634952896620482</v>
      </c>
      <c r="Q167" s="389">
        <f>SUM(P167:P175)</f>
        <v>0.76299784243207447</v>
      </c>
      <c r="R167" s="389">
        <f>SUM(Q167:Q175)</f>
        <v>0.9318838616948335</v>
      </c>
      <c r="S167" s="389">
        <v>0</v>
      </c>
      <c r="T167" s="389">
        <f>SUM(S168:S175)</f>
        <v>0.71865496657340644</v>
      </c>
      <c r="U167" s="389">
        <f>SUM(T167:T175)</f>
        <v>1.5412342341688752</v>
      </c>
      <c r="V167" s="389">
        <f>SUM(U167:U175)</f>
        <v>1.729065380556861</v>
      </c>
      <c r="W167" s="389" t="s">
        <v>599</v>
      </c>
      <c r="X167" s="393">
        <f>B180</f>
        <v>5351.7050443327325</v>
      </c>
      <c r="Y167" s="393">
        <f>X167</f>
        <v>5351.7050443327325</v>
      </c>
      <c r="Z167" s="389" t="s">
        <v>600</v>
      </c>
      <c r="AA167" s="124">
        <f>AA180</f>
        <v>1784.1421211554434</v>
      </c>
      <c r="AB167" s="399"/>
      <c r="AC167" s="124">
        <f>W180</f>
        <v>1784.1421211554441</v>
      </c>
      <c r="AD167" s="124"/>
      <c r="AE167" s="124"/>
      <c r="AF167" s="124">
        <f>AP180</f>
        <v>1784.1421211554439</v>
      </c>
    </row>
    <row r="168" spans="1:33">
      <c r="A168" s="389" t="s">
        <v>601</v>
      </c>
      <c r="B168" s="390"/>
      <c r="C168" s="390"/>
      <c r="D168" s="389"/>
      <c r="E168" s="389"/>
      <c r="F168" s="389"/>
      <c r="G168" s="389"/>
      <c r="H168" s="389" t="s">
        <v>602</v>
      </c>
      <c r="I168" s="389">
        <v>0</v>
      </c>
      <c r="J168" s="389">
        <v>0</v>
      </c>
      <c r="K168" s="389">
        <v>0</v>
      </c>
      <c r="L168" s="389">
        <v>0</v>
      </c>
      <c r="M168" s="390">
        <f>AF168/$AF$167+K196</f>
        <v>0.2798229461370238</v>
      </c>
      <c r="N168" s="404">
        <f>AG168/$AF$167+S196/V183</f>
        <v>0.52096556909818292</v>
      </c>
      <c r="O168" s="404">
        <f>N203/$N$183</f>
        <v>0.11673699417441114</v>
      </c>
      <c r="P168" s="404">
        <f>(N205+N206)/$N$183</f>
        <v>0.13985590857589403</v>
      </c>
      <c r="Q168" s="404">
        <f>N207/$N$183</f>
        <v>1.6814803957754001E-2</v>
      </c>
      <c r="R168" s="404">
        <f>N208/$N$183</f>
        <v>6.4152394289647271E-3</v>
      </c>
      <c r="S168" s="404">
        <f>S203/$V$183</f>
        <v>7.3274870473758746E-2</v>
      </c>
      <c r="T168" s="404">
        <f>(S205+S206)/V183</f>
        <v>0.38392141483436509</v>
      </c>
      <c r="U168" s="404">
        <f>S207/V183</f>
        <v>4.615867424807605E-2</v>
      </c>
      <c r="V168" s="404">
        <f>S208/V183</f>
        <v>1.7610609541983006E-2</v>
      </c>
      <c r="W168" s="389"/>
      <c r="X168" s="393"/>
      <c r="Y168" s="393"/>
      <c r="Z168" s="389" t="s">
        <v>603</v>
      </c>
      <c r="AA168" s="124"/>
      <c r="AB168" s="124"/>
      <c r="AC168" s="124"/>
      <c r="AD168" s="124"/>
      <c r="AE168" s="124"/>
      <c r="AF168" s="124">
        <f>SUM(AM180:AO180)</f>
        <v>246.53457833818038</v>
      </c>
      <c r="AG168" s="124">
        <f>SUM(AM182:AO182)</f>
        <v>676.76728916909019</v>
      </c>
    </row>
    <row r="169" spans="1:33">
      <c r="A169" s="389" t="s">
        <v>604</v>
      </c>
      <c r="B169" s="390"/>
      <c r="C169" s="390"/>
      <c r="D169" s="389"/>
      <c r="E169" s="389"/>
      <c r="F169" s="389"/>
      <c r="G169" s="389"/>
      <c r="H169" s="389" t="s">
        <v>604</v>
      </c>
      <c r="I169" s="389">
        <f>AA169/$AA$167</f>
        <v>0.20433245260932451</v>
      </c>
      <c r="J169" s="389">
        <f>AB169/$AA$167</f>
        <v>0.20433245260932451</v>
      </c>
      <c r="K169" s="389">
        <f>AC169/$AC$167</f>
        <v>0.20433245260932442</v>
      </c>
      <c r="L169" s="389">
        <f>AD169/$AC$167</f>
        <v>0.20433245260932442</v>
      </c>
      <c r="M169" s="389">
        <f t="shared" ref="M169:M175" si="95">AF169/$AF$167</f>
        <v>0.20433245260932445</v>
      </c>
      <c r="N169" s="389">
        <f t="shared" ref="N169:N175" si="96">AG169/$AF$167</f>
        <v>0.20433245260932445</v>
      </c>
      <c r="O169" s="389">
        <v>0</v>
      </c>
      <c r="P169" s="404">
        <f>N199/$N$183</f>
        <v>6.7259215831015587E-2</v>
      </c>
      <c r="Q169" s="404">
        <f>N198/$N$183</f>
        <v>0.15207121530500506</v>
      </c>
      <c r="R169" s="389">
        <v>0</v>
      </c>
      <c r="S169" s="389">
        <v>0</v>
      </c>
      <c r="T169" s="404">
        <f>S199/V183</f>
        <v>6.2659980469414511E-2</v>
      </c>
      <c r="U169" s="404">
        <f>S198/V183</f>
        <v>0.14167247213990994</v>
      </c>
      <c r="V169" s="389">
        <v>0</v>
      </c>
      <c r="W169" s="389"/>
      <c r="X169" s="393"/>
      <c r="Y169" s="393"/>
      <c r="Z169" s="389" t="s">
        <v>604</v>
      </c>
      <c r="AA169" s="399">
        <f>Q180</f>
        <v>364.55813541929433</v>
      </c>
      <c r="AB169" s="399">
        <f>Q181</f>
        <v>364.55813541929433</v>
      </c>
      <c r="AC169" s="399">
        <f>Q180</f>
        <v>364.55813541929433</v>
      </c>
      <c r="AD169" s="399">
        <f>Q181</f>
        <v>364.55813541929433</v>
      </c>
      <c r="AE169" s="124"/>
      <c r="AF169" s="124">
        <f>AD180</f>
        <v>364.55813541929433</v>
      </c>
      <c r="AG169" s="124">
        <f>AD182</f>
        <v>364.55813541929433</v>
      </c>
    </row>
    <row r="170" spans="1:33">
      <c r="A170" s="389" t="s">
        <v>605</v>
      </c>
      <c r="B170" s="390">
        <v>0</v>
      </c>
      <c r="C170" s="390">
        <v>0</v>
      </c>
      <c r="D170" s="390">
        <f>H180/$B$180*-1</f>
        <v>-0.12972035707149671</v>
      </c>
      <c r="E170" s="390">
        <f>H181/$B$180*-1</f>
        <v>-0.47087796863330339</v>
      </c>
      <c r="F170" s="390">
        <v>-0.37056933377105283</v>
      </c>
      <c r="G170" s="390">
        <v>-0.92756737398155598</v>
      </c>
      <c r="H170" s="389" t="s">
        <v>605</v>
      </c>
      <c r="I170" s="389">
        <f t="shared" ref="I170:I175" si="97">AA170/$AA$167</f>
        <v>0</v>
      </c>
      <c r="J170" s="389">
        <f t="shared" ref="J170:J175" si="98">AB170/$AA$167</f>
        <v>0</v>
      </c>
      <c r="K170" s="389">
        <f t="shared" ref="K170:K175" si="99">AC170/$AC$167</f>
        <v>0</v>
      </c>
      <c r="L170" s="389">
        <f t="shared" ref="L170:L175" si="100">AD170/$AC$167</f>
        <v>0</v>
      </c>
      <c r="M170" s="389">
        <f t="shared" si="95"/>
        <v>0</v>
      </c>
      <c r="N170" s="389">
        <f t="shared" si="96"/>
        <v>0</v>
      </c>
      <c r="O170" s="389">
        <v>0</v>
      </c>
      <c r="P170" s="389">
        <v>0</v>
      </c>
      <c r="Q170" s="389">
        <v>0</v>
      </c>
      <c r="R170" s="389">
        <v>0</v>
      </c>
      <c r="S170" s="389">
        <v>0</v>
      </c>
      <c r="T170" s="389">
        <v>0</v>
      </c>
      <c r="U170" s="389">
        <v>0</v>
      </c>
      <c r="V170" s="389">
        <v>0</v>
      </c>
      <c r="W170" s="389"/>
      <c r="X170" s="393">
        <f>H180</f>
        <v>694.22508929217213</v>
      </c>
      <c r="Y170" s="393">
        <f>H181</f>
        <v>2520</v>
      </c>
      <c r="Z170" s="389" t="s">
        <v>605</v>
      </c>
      <c r="AA170" s="399"/>
      <c r="AB170" s="399"/>
      <c r="AC170" s="124"/>
      <c r="AD170" s="124"/>
      <c r="AE170" s="124"/>
      <c r="AF170" s="124"/>
      <c r="AG170" s="124"/>
    </row>
    <row r="171" spans="1:33">
      <c r="A171" s="389" t="s">
        <v>606</v>
      </c>
      <c r="B171" s="390">
        <v>0</v>
      </c>
      <c r="C171" s="390">
        <v>0</v>
      </c>
      <c r="D171" s="390">
        <f>G180/$B$180</f>
        <v>0.26718645595990326</v>
      </c>
      <c r="E171" s="390">
        <f>G181/$B$180</f>
        <v>0</v>
      </c>
      <c r="F171" s="390">
        <v>0.22134678325921947</v>
      </c>
      <c r="G171" s="390">
        <v>0</v>
      </c>
      <c r="H171" s="389" t="s">
        <v>606</v>
      </c>
      <c r="I171" s="389">
        <f t="shared" si="97"/>
        <v>0.21259159210962297</v>
      </c>
      <c r="J171" s="389">
        <f t="shared" si="98"/>
        <v>0</v>
      </c>
      <c r="K171" s="389">
        <f t="shared" si="99"/>
        <v>4.3948820083817626E-2</v>
      </c>
      <c r="L171" s="389">
        <f t="shared" si="100"/>
        <v>0</v>
      </c>
      <c r="M171" s="389">
        <f t="shared" si="95"/>
        <v>4.3948820083817633E-2</v>
      </c>
      <c r="N171" s="389">
        <f t="shared" si="96"/>
        <v>3.6575272651968166E-2</v>
      </c>
      <c r="O171" s="389">
        <v>0</v>
      </c>
      <c r="P171" s="389">
        <f>N193*Q191/$N$183</f>
        <v>4.1090352127934951E-3</v>
      </c>
      <c r="Q171" s="389">
        <v>0</v>
      </c>
      <c r="R171" s="389">
        <f>N194/$N$183*Q191</f>
        <v>5.6347852854978691E-3</v>
      </c>
      <c r="S171" s="404">
        <f>W192/V183</f>
        <v>-1.4423105352609435E-2</v>
      </c>
      <c r="T171" s="389">
        <f>W193/V183</f>
        <v>2.1506362011996131E-2</v>
      </c>
      <c r="U171" s="389">
        <v>0</v>
      </c>
      <c r="V171" s="389">
        <f>W194/V183</f>
        <v>2.9492015992581472E-2</v>
      </c>
      <c r="W171" s="389"/>
      <c r="X171" s="114">
        <f>G180</f>
        <v>1429.9031041379999</v>
      </c>
      <c r="Y171" s="114">
        <f>G181</f>
        <v>0</v>
      </c>
      <c r="Z171" s="389" t="s">
        <v>606</v>
      </c>
      <c r="AA171" s="399">
        <f>X171*$F$121/1000</f>
        <v>379.29361408627557</v>
      </c>
      <c r="AB171" s="399">
        <f>Y171*$F$121/1000</f>
        <v>0</v>
      </c>
      <c r="AC171" s="124">
        <f>U180</f>
        <v>78.410941086621364</v>
      </c>
      <c r="AD171" s="124">
        <f>U181</f>
        <v>0</v>
      </c>
      <c r="AE171" s="124"/>
      <c r="AF171" s="124">
        <f>AJ180</f>
        <v>78.410941086621364</v>
      </c>
      <c r="AG171" s="124">
        <f>AJ182</f>
        <v>65.255484531121184</v>
      </c>
    </row>
    <row r="172" spans="1:33">
      <c r="A172" s="389" t="s">
        <v>607</v>
      </c>
      <c r="B172" s="390">
        <v>9.1324200913242004E-2</v>
      </c>
      <c r="C172" s="390">
        <v>0.45662100456621002</v>
      </c>
      <c r="D172" s="390">
        <f>K180/$B$180</f>
        <v>1.9473381427182433E-2</v>
      </c>
      <c r="E172" s="390">
        <f>K181/$B$180</f>
        <v>4.0360968739997435E-2</v>
      </c>
      <c r="F172" s="390">
        <v>0</v>
      </c>
      <c r="G172" s="390">
        <v>0</v>
      </c>
      <c r="H172" s="389" t="s">
        <v>607</v>
      </c>
      <c r="I172" s="389">
        <f t="shared" si="97"/>
        <v>1.549433763956938E-2</v>
      </c>
      <c r="J172" s="389">
        <f t="shared" si="98"/>
        <v>3.211391300766548E-2</v>
      </c>
      <c r="K172" s="389">
        <f t="shared" si="99"/>
        <v>3.2031269462821548E-3</v>
      </c>
      <c r="L172" s="389">
        <f t="shared" si="100"/>
        <v>6.6388730191807759E-3</v>
      </c>
      <c r="M172" s="389">
        <f t="shared" si="95"/>
        <v>3.2031269462821552E-3</v>
      </c>
      <c r="N172" s="389">
        <f t="shared" si="96"/>
        <v>0.16535711501478048</v>
      </c>
      <c r="O172" s="389">
        <v>0</v>
      </c>
      <c r="P172" s="389">
        <f>N193*R191/$N$183</f>
        <v>4.1090352127934951E-3</v>
      </c>
      <c r="Q172" s="389">
        <v>0</v>
      </c>
      <c r="R172" s="389">
        <f>N194/$N$183*R191</f>
        <v>5.6347852854978691E-3</v>
      </c>
      <c r="S172" s="404">
        <f>X192/V183</f>
        <v>2.9361440335906864E-2</v>
      </c>
      <c r="T172" s="389">
        <f>X193/V183</f>
        <v>5.7350298698656349E-2</v>
      </c>
      <c r="U172" s="389">
        <v>0</v>
      </c>
      <c r="V172" s="389">
        <f>X194/V183</f>
        <v>7.8645375980217258E-2</v>
      </c>
      <c r="W172" s="389"/>
      <c r="X172" s="114">
        <f>K180</f>
        <v>104.21579361406758</v>
      </c>
      <c r="Y172" s="114">
        <f>K181</f>
        <v>216</v>
      </c>
      <c r="Z172" s="389" t="s">
        <v>607</v>
      </c>
      <c r="AA172" s="399">
        <f t="shared" ref="AA172:AA175" si="101">X172*$F$121/1000</f>
        <v>27.644100422159941</v>
      </c>
      <c r="AB172" s="399">
        <f t="shared" ref="AB172:AB175" si="102">Y172*$F$121/1000</f>
        <v>57.295784872097677</v>
      </c>
      <c r="AC172" s="124">
        <f>V180</f>
        <v>5.7148337042700037</v>
      </c>
      <c r="AD172" s="124">
        <f>V181</f>
        <v>11.844692990522837</v>
      </c>
      <c r="AE172" s="124"/>
      <c r="AF172" s="124">
        <f>AK180</f>
        <v>5.7148337042700037</v>
      </c>
      <c r="AG172" s="124">
        <f>AK182</f>
        <v>295.02059393061512</v>
      </c>
    </row>
    <row r="173" spans="1:33">
      <c r="A173" s="389" t="s">
        <v>608</v>
      </c>
      <c r="B173" s="390">
        <v>9.1324200913242004E-2</v>
      </c>
      <c r="C173" s="390">
        <v>0.17123287671232876</v>
      </c>
      <c r="D173" s="390">
        <v>0</v>
      </c>
      <c r="E173" s="390">
        <v>0</v>
      </c>
      <c r="F173" s="390">
        <v>0</v>
      </c>
      <c r="G173" s="390">
        <v>0</v>
      </c>
      <c r="H173" s="389" t="s">
        <v>608</v>
      </c>
      <c r="I173" s="389">
        <f t="shared" si="97"/>
        <v>0</v>
      </c>
      <c r="J173" s="389">
        <f t="shared" si="98"/>
        <v>0</v>
      </c>
      <c r="K173" s="389">
        <f t="shared" si="99"/>
        <v>0</v>
      </c>
      <c r="L173" s="389">
        <f t="shared" si="100"/>
        <v>0</v>
      </c>
      <c r="M173" s="389">
        <f t="shared" si="95"/>
        <v>0</v>
      </c>
      <c r="N173" s="389">
        <f t="shared" si="96"/>
        <v>0</v>
      </c>
      <c r="O173" s="389">
        <v>0</v>
      </c>
      <c r="P173" s="389">
        <v>0</v>
      </c>
      <c r="Q173" s="389">
        <v>0</v>
      </c>
      <c r="R173" s="389">
        <v>0</v>
      </c>
      <c r="S173" s="389">
        <v>0</v>
      </c>
      <c r="T173" s="389">
        <v>0</v>
      </c>
      <c r="U173" s="389">
        <v>0</v>
      </c>
      <c r="V173" s="389">
        <v>0</v>
      </c>
      <c r="W173" s="389"/>
      <c r="X173" s="114"/>
      <c r="Y173" s="114"/>
      <c r="Z173" s="389" t="s">
        <v>608</v>
      </c>
      <c r="AA173" s="399">
        <f t="shared" si="101"/>
        <v>0</v>
      </c>
      <c r="AB173" s="399">
        <f t="shared" si="102"/>
        <v>0</v>
      </c>
      <c r="AE173" s="124"/>
      <c r="AF173" s="124"/>
      <c r="AG173" s="124"/>
    </row>
    <row r="174" spans="1:33">
      <c r="A174" s="389" t="s">
        <v>609</v>
      </c>
      <c r="B174" s="390">
        <f>1-B172-B173-B175</f>
        <v>0.80593607305936077</v>
      </c>
      <c r="C174" s="390">
        <f>1-C172-C173-C175</f>
        <v>0.36073059360730597</v>
      </c>
      <c r="D174" s="390">
        <f>O180/$B$180</f>
        <v>0.68696853520734469</v>
      </c>
      <c r="E174" s="390">
        <f>O181/$B$180</f>
        <v>2.5299413715518297</v>
      </c>
      <c r="F174" s="390">
        <v>0.41365321674078059</v>
      </c>
      <c r="G174" s="390">
        <v>1.0122004357298475</v>
      </c>
      <c r="H174" s="389" t="s">
        <v>609</v>
      </c>
      <c r="I174" s="389">
        <f t="shared" si="97"/>
        <v>0.54659856954299291</v>
      </c>
      <c r="J174" s="389">
        <f t="shared" si="98"/>
        <v>2.0129922461448464</v>
      </c>
      <c r="K174" s="389">
        <f t="shared" si="99"/>
        <v>0.50403352645046007</v>
      </c>
      <c r="L174" s="389">
        <f t="shared" si="100"/>
        <v>1.8562353381022056</v>
      </c>
      <c r="M174" s="390">
        <f>AF174/$AF$167-K196</f>
        <v>0.23203419650730997</v>
      </c>
      <c r="N174" s="404">
        <f>AG174/$AF$167-S196/V183</f>
        <v>0.58169034313746304</v>
      </c>
      <c r="O174" s="404">
        <f>N192*(1-O191/(O191+P191))/N183</f>
        <v>0.19827392573761993</v>
      </c>
      <c r="P174" s="389">
        <f>N193*P191/$N$183</f>
        <v>3.6262235752902598E-2</v>
      </c>
      <c r="Q174" s="389">
        <v>0</v>
      </c>
      <c r="R174" s="389">
        <f>N194/$N$183*P191</f>
        <v>4.97269801445187E-2</v>
      </c>
      <c r="S174" s="404">
        <f>(V192)/V183</f>
        <v>0.52960799466109054</v>
      </c>
      <c r="T174" s="389">
        <f>V193/V183</f>
        <v>4.5306735971938517E-2</v>
      </c>
      <c r="U174" s="389">
        <v>0</v>
      </c>
      <c r="V174" s="389">
        <f>V194/V183</f>
        <v>6.2129847024371639E-2</v>
      </c>
      <c r="X174" s="114">
        <f>O180</f>
        <v>3676.4529751670152</v>
      </c>
      <c r="Y174" s="114">
        <f>O181</f>
        <v>13539.5</v>
      </c>
      <c r="Z174" s="389" t="s">
        <v>609</v>
      </c>
      <c r="AA174" s="399">
        <f t="shared" si="101"/>
        <v>975.20953128496649</v>
      </c>
      <c r="AB174" s="399">
        <f t="shared" si="102"/>
        <v>3591.4642559063263</v>
      </c>
      <c r="AC174" s="124">
        <f>T180</f>
        <v>899.26744501478242</v>
      </c>
      <c r="AD174" s="124">
        <f>T181</f>
        <v>3311.7876534853622</v>
      </c>
      <c r="AE174" s="124"/>
      <c r="AF174" s="124" cm="1">
        <f t="array" ref="AF174">_xlfn.SWITCH($B$96,1,AI180+AH180+AG180,2,AI180+AH180,3,AI180)</f>
        <v>666.69130986784592</v>
      </c>
      <c r="AG174" s="124" cm="1">
        <f t="array" ref="AG174">_xlfn.SWITCH($B$96,1,AI182+AH182+AG182,2,AI182+AH182,3,AI182)</f>
        <v>1290.5275689916061</v>
      </c>
    </row>
    <row r="175" spans="1:33">
      <c r="A175" s="389" t="str" cm="1">
        <f t="array" ref="A175">CONCATENATE("Peak chosen (",_xlfn.SWITCH($B$96,1,10,2,100,3,500),"hrs)")</f>
        <v>Peak chosen (100hrs)</v>
      </c>
      <c r="B175" s="390" cm="1">
        <f t="array" ref="B175">_xlfn.SWITCH($B$96,1,10,2,100,3,500)/8760</f>
        <v>1.1415525114155251E-2</v>
      </c>
      <c r="C175" s="390" cm="1">
        <f t="array" ref="C175">_xlfn.SWITCH($B$96,1,10,2,100,3,500)/8760</f>
        <v>1.1415525114155251E-2</v>
      </c>
      <c r="D175" s="390">
        <f>N180/$B$180</f>
        <v>2.6371627405569649E-2</v>
      </c>
      <c r="E175" s="390">
        <f>N181/$B$180</f>
        <v>4.568637433763599E-2</v>
      </c>
      <c r="F175" s="390">
        <v>0.36499999999999999</v>
      </c>
      <c r="G175" s="390">
        <v>0.57999999999999996</v>
      </c>
      <c r="H175" s="389" t="str" cm="1">
        <f t="array" ref="H175">CONCATENATE("Peak chosen (",_xlfn.SWITCH($B$96,1,10,2,100,3,500),"hrs)")</f>
        <v>Peak chosen (100hrs)</v>
      </c>
      <c r="I175" s="389">
        <f t="shared" si="97"/>
        <v>2.0983048098490321E-2</v>
      </c>
      <c r="J175" s="389">
        <f t="shared" si="98"/>
        <v>3.6351165418399126E-2</v>
      </c>
      <c r="K175" s="389">
        <f t="shared" si="99"/>
        <v>0.24448207391011581</v>
      </c>
      <c r="L175" s="389">
        <f t="shared" si="100"/>
        <v>0.42354229322761316</v>
      </c>
      <c r="M175" s="389">
        <f t="shared" si="95"/>
        <v>0.236658457716242</v>
      </c>
      <c r="N175" s="389">
        <f t="shared" si="96"/>
        <v>0.40998861098380063</v>
      </c>
      <c r="O175" s="404">
        <f>(N186+N192/(O191+P191)*O191)/$N$183</f>
        <v>5.1338609054173763E-2</v>
      </c>
      <c r="P175" s="404">
        <f>(N187+N188)/$N$183+N193*O191/$N$183</f>
        <v>0.14505288288047052</v>
      </c>
      <c r="Q175" s="389">
        <v>0</v>
      </c>
      <c r="R175" s="389">
        <f>N194/$N$183*O191</f>
        <v>7.0434816068723363E-4</v>
      </c>
      <c r="S175" s="410">
        <f>(U192+S186)/V183</f>
        <v>0.10083376645525974</v>
      </c>
      <c r="T175" s="404">
        <f>(U193+S188+S187)/V183</f>
        <v>0.25183447560909794</v>
      </c>
      <c r="U175" s="389">
        <v>0</v>
      </c>
      <c r="V175" s="389">
        <f>U194/V183</f>
        <v>1.9661343995054314E-3</v>
      </c>
      <c r="X175" s="114">
        <f>N180</f>
        <v>141.13317141365042</v>
      </c>
      <c r="Y175" s="114">
        <f>N181</f>
        <v>244.50000000000003</v>
      </c>
      <c r="Z175" s="389" t="str" cm="1">
        <f t="array" ref="Z175">CONCATENATE("Peak chosen (",_xlfn.SWITCH($B$96,1,10,2,100,3,500),"hrs)")</f>
        <v>Peak chosen (100hrs)</v>
      </c>
      <c r="AA175" s="399">
        <f t="shared" si="101"/>
        <v>37.436739942747217</v>
      </c>
      <c r="AB175" s="399">
        <f t="shared" si="102"/>
        <v>64.855645376055023</v>
      </c>
      <c r="AC175" s="124">
        <f>R180+S180</f>
        <v>436.19076593047606</v>
      </c>
      <c r="AD175" s="124">
        <f>R181+S181</f>
        <v>755.65964543815483</v>
      </c>
      <c r="AE175" s="124"/>
      <c r="AF175" s="124" cm="1">
        <f t="array" ref="AF175">_xlfn.SWITCH($B$96,1,AF180,2,AF180+AG180,3,AF180+AG180+AH180)+AE180</f>
        <v>422.2323227392319</v>
      </c>
      <c r="AG175" s="124" cm="1">
        <f t="array" ref="AG175">_xlfn.SWITCH($B$96,1,AF182,2,AF182+AG182,3,AF182+AG182+AH182)+AE182</f>
        <v>731.47795005021214</v>
      </c>
    </row>
    <row r="176" spans="1:33">
      <c r="A176" s="389"/>
      <c r="B176" s="389"/>
      <c r="C176" s="389"/>
      <c r="D176" s="389"/>
      <c r="E176" s="389"/>
      <c r="F176" s="389"/>
      <c r="G176" s="389"/>
      <c r="H176" s="389"/>
      <c r="I176" s="389"/>
      <c r="J176" s="389"/>
      <c r="K176" s="389"/>
      <c r="L176" s="389"/>
      <c r="M176" s="389"/>
      <c r="N176" s="389"/>
      <c r="O176" s="389"/>
      <c r="P176" s="389"/>
      <c r="Q176" s="389"/>
      <c r="R176" s="389"/>
      <c r="S176" s="389"/>
      <c r="T176" s="389"/>
      <c r="U176" s="389"/>
      <c r="V176" s="389"/>
      <c r="W176" s="389"/>
      <c r="X176" s="393"/>
      <c r="Y176" s="393"/>
      <c r="Z176" s="389"/>
      <c r="AA176" s="389"/>
      <c r="AB176" s="389"/>
      <c r="AG176" s="124"/>
    </row>
    <row r="177" spans="1:57">
      <c r="B177" s="115"/>
      <c r="X177" s="393"/>
      <c r="Y177" s="393"/>
    </row>
    <row r="178" spans="1:57" ht="24.6">
      <c r="A178" s="112" t="s">
        <v>610</v>
      </c>
      <c r="Q178" s="392" t="str">
        <f>'Different homes'!AQ2</f>
        <v>Tariff calculation</v>
      </c>
      <c r="R178" s="392">
        <f>'Different homes'!AR2</f>
        <v>0</v>
      </c>
      <c r="S178" s="392">
        <f>'Different homes'!AS2</f>
        <v>0</v>
      </c>
      <c r="T178" s="392">
        <f>'Different homes'!AT2</f>
        <v>0</v>
      </c>
      <c r="U178" s="392">
        <f>'Different homes'!AU2</f>
        <v>0</v>
      </c>
      <c r="V178" s="392">
        <f>'Different homes'!AV2</f>
        <v>0</v>
      </c>
      <c r="W178" s="392" t="str">
        <f>'Different homes'!AW2</f>
        <v>kWh</v>
      </c>
      <c r="X178" s="392">
        <f>'Different homes'!AX2</f>
        <v>0</v>
      </c>
      <c r="Y178" s="392">
        <f>'Different homes'!AY2</f>
        <v>0</v>
      </c>
      <c r="Z178" s="392">
        <f>'Different homes'!AZ2</f>
        <v>0</v>
      </c>
      <c r="AA178" s="392" t="str">
        <f>'Different homes'!BA2</f>
        <v>Flat tariff</v>
      </c>
      <c r="AB178" s="392" t="str">
        <f>'Different homes'!BB2</f>
        <v>difference</v>
      </c>
      <c r="AC178" s="392">
        <f>'Different homes'!BC2</f>
        <v>0</v>
      </c>
      <c r="AD178" s="392" t="str">
        <f>'Different homes'!CD2</f>
        <v>Final comparisons - a baseline</v>
      </c>
      <c r="AE178" s="392">
        <f>'Different homes'!CE2</f>
        <v>0</v>
      </c>
      <c r="AF178" s="392">
        <f>'Different homes'!CF2</f>
        <v>0</v>
      </c>
      <c r="AG178" s="392">
        <f>'Different homes'!CG2</f>
        <v>0</v>
      </c>
      <c r="AH178" s="392">
        <f>'Different homes'!CH2</f>
        <v>0</v>
      </c>
      <c r="AI178" s="392">
        <f>'Different homes'!CI2</f>
        <v>0</v>
      </c>
      <c r="AJ178" s="392">
        <f>'Different homes'!CJ2</f>
        <v>0</v>
      </c>
      <c r="AK178" s="392">
        <f>'Different homes'!CK2</f>
        <v>0</v>
      </c>
      <c r="AL178" s="392">
        <f>'Different homes'!CL2</f>
        <v>0</v>
      </c>
      <c r="AM178" s="392">
        <f>'Different homes'!CM2</f>
        <v>0</v>
      </c>
      <c r="AN178" s="392">
        <f>'Different homes'!CN2</f>
        <v>0</v>
      </c>
      <c r="AO178" s="392">
        <f>'Different homes'!CO2</f>
        <v>1</v>
      </c>
      <c r="AP178" s="392">
        <f>'Different homes'!CP2</f>
        <v>0</v>
      </c>
      <c r="AQ178" s="392"/>
      <c r="AR178" s="392"/>
      <c r="AS178" s="392"/>
      <c r="AT178" s="392"/>
      <c r="AU178" s="392"/>
      <c r="AV178" s="392"/>
      <c r="AW178" s="392"/>
      <c r="AX178" s="392"/>
      <c r="AY178" s="392"/>
      <c r="AZ178" s="392"/>
      <c r="BA178" s="392"/>
      <c r="BB178" s="392"/>
      <c r="BC178" s="392"/>
      <c r="BE178" s="392"/>
    </row>
    <row r="179" spans="1:57" ht="32.450000000000003" customHeight="1">
      <c r="A179" t="str">
        <f>'Different homes'!C4</f>
        <v>SA residential scenarios</v>
      </c>
      <c r="B179" s="392" t="str">
        <f>'Different homes'!D4</f>
        <v>Annual Consumption (kWh/yr)</v>
      </c>
      <c r="C179" s="392" t="str">
        <f>'Different homes'!E4</f>
        <v>Daily rate kWh/day</v>
      </c>
      <c r="D179" s="392" t="str">
        <f>'Different homes'!F4</f>
        <v>Contribution to peak load (est)</v>
      </c>
      <c r="E179" s="392" t="str">
        <f>'Different homes'!G4</f>
        <v>Average load (kW)</v>
      </c>
      <c r="F179" s="392" t="str">
        <f>'Different homes'!H4</f>
        <v>Grid load factor</v>
      </c>
      <c r="G179" s="392" t="str">
        <f>'Different homes'!K4</f>
        <v>amount purchased from local solar</v>
      </c>
      <c r="H179" s="392" t="str">
        <f>'Different homes'!L4</f>
        <v>self-consumed solar</v>
      </c>
      <c r="I179" s="392" t="str">
        <f>'Different homes'!M4</f>
        <v>underlying load</v>
      </c>
      <c r="J179" s="392" t="str">
        <f>'Different homes'!N4</f>
        <v>amount that could be flexible</v>
      </c>
      <c r="K179" s="392" t="str">
        <f>'Different homes'!O4</f>
        <v>amount allocated to flexible times</v>
      </c>
      <c r="L179" s="392" t="str">
        <f>'Different homes'!P4</f>
        <v>how many of these homes?</v>
      </c>
      <c r="M179" s="392" t="str">
        <f>'Different homes'!Q4</f>
        <v>tonnes of carbon</v>
      </c>
      <c r="N179" s="392" t="str">
        <f>'Different homes'!AN4</f>
        <v>peak</v>
      </c>
      <c r="O179" s="392" t="str">
        <f>'Different homes'!AO4</f>
        <v>ff baseload</v>
      </c>
      <c r="P179" s="392">
        <f>'Different homes'!AP4</f>
        <v>0</v>
      </c>
      <c r="Q179" s="392" t="str">
        <f>'Different homes'!AQ4</f>
        <v>fixed costs p.a.</v>
      </c>
      <c r="R179" s="392" t="str">
        <f>'Different homes'!AR4</f>
        <v>$/kW</v>
      </c>
      <c r="S179" s="392" t="str">
        <f>'Different homes'!AS4</f>
        <v>c/kWh peak</v>
      </c>
      <c r="T179" s="392" t="str">
        <f>'Different homes'!AT4</f>
        <v>c/kWh ff baseload</v>
      </c>
      <c r="U179" s="392" t="str">
        <f>'Different homes'!AU4</f>
        <v>c/kWh solar</v>
      </c>
      <c r="V179" s="392" t="str">
        <f>'Different homes'!AV4</f>
        <v>c/kWh flex</v>
      </c>
      <c r="W179" s="392" t="str">
        <f>'Different homes'!AW4</f>
        <v>TOTAL</v>
      </c>
      <c r="X179" s="392" t="str">
        <f>'Different homes'!AX4</f>
        <v>$/MWh avg</v>
      </c>
      <c r="Y179" s="392" t="str">
        <f>'Different homes'!AY4</f>
        <v>$/kW</v>
      </c>
      <c r="Z179" s="392">
        <f>'Different homes'!AZ4</f>
        <v>0</v>
      </c>
      <c r="AA179" s="392">
        <f>'Different homes'!BA4</f>
        <v>0</v>
      </c>
      <c r="AB179" s="392">
        <f>'Different homes'!BB4</f>
        <v>0</v>
      </c>
      <c r="AC179" s="392">
        <f>'Different homes'!BC4</f>
        <v>0</v>
      </c>
      <c r="AD179" s="392" t="str">
        <f>'Different homes'!CD4</f>
        <v>fixed costs p.a.</v>
      </c>
      <c r="AE179" s="392" t="str">
        <f>'Different homes'!CE4</f>
        <v>$/kW</v>
      </c>
      <c r="AF179" s="392" t="str">
        <f>'Different homes'!CF4</f>
        <v>$/MWh peak 10</v>
      </c>
      <c r="AG179" s="392" t="str">
        <f>'Different homes'!CG4</f>
        <v>$/MWh peak 100</v>
      </c>
      <c r="AH179" s="392" t="str">
        <f>'Different homes'!CH4</f>
        <v>$/MWh peak 500</v>
      </c>
      <c r="AI179" s="392" t="str">
        <f>'Different homes'!CI4</f>
        <v>$/MWh ff baseload</v>
      </c>
      <c r="AJ179" s="392" t="str">
        <f>'Different homes'!CJ4</f>
        <v>$/MWh solar</v>
      </c>
      <c r="AK179" s="392" t="str">
        <f>'Different homes'!CK4</f>
        <v>$/MWh flex</v>
      </c>
      <c r="AL179" s="392" t="str">
        <f>'Different homes'!CL4</f>
        <v>Residual total</v>
      </c>
      <c r="AM179" s="392" t="str">
        <f>'Different homes'!CM4</f>
        <v>Residual - per customer</v>
      </c>
      <c r="AN179" s="392" t="str">
        <f>'Different homes'!CN4</f>
        <v>Residual - per kW</v>
      </c>
      <c r="AO179" s="392" t="str">
        <f>'Different homes'!CO4</f>
        <v>Residual - per kWh</v>
      </c>
      <c r="AP179" s="392" t="str">
        <f>'Different homes'!CP4</f>
        <v>TOTAL price signal</v>
      </c>
      <c r="AQ179" s="392"/>
      <c r="AR179" s="392"/>
      <c r="AS179" s="392"/>
      <c r="AT179" s="392"/>
      <c r="AU179" s="392"/>
      <c r="AV179" s="392"/>
      <c r="AW179" s="392"/>
      <c r="AX179" s="392"/>
      <c r="AY179" s="392"/>
      <c r="AZ179" s="392"/>
      <c r="BA179" s="392"/>
      <c r="BB179" s="392"/>
      <c r="BC179" s="392"/>
      <c r="BE179" s="392"/>
    </row>
    <row r="180" spans="1:57">
      <c r="A180" t="str">
        <f>'Different homes'!C5</f>
        <v>Reference household</v>
      </c>
      <c r="B180" s="391">
        <f>'Different homes'!D5</f>
        <v>5351.7050443327325</v>
      </c>
      <c r="C180" s="391">
        <f>'Different homes'!E5</f>
        <v>14.662205600911596</v>
      </c>
      <c r="D180" s="391">
        <f>'Different homes'!F5</f>
        <v>1.7316953547687168</v>
      </c>
      <c r="E180" s="391">
        <f>'Different homes'!G5</f>
        <v>0.61092523337131655</v>
      </c>
      <c r="F180" s="391">
        <f>'Different homes'!H5</f>
        <v>0.35279024782792179</v>
      </c>
      <c r="G180" s="391">
        <f>'Different homes'!K5</f>
        <v>1429.9031041379999</v>
      </c>
      <c r="H180" s="391">
        <f>'Different homes'!L5</f>
        <v>694.22508929217213</v>
      </c>
      <c r="I180" s="391">
        <f>'Different homes'!M5</f>
        <v>6045.9301336249046</v>
      </c>
      <c r="J180" s="391">
        <f>'Different homes'!N5</f>
        <v>1042.1579361406757</v>
      </c>
      <c r="K180" s="391">
        <f>'Different homes'!O5</f>
        <v>104.21579361406758</v>
      </c>
      <c r="L180" s="391">
        <f>'Different homes'!P5</f>
        <v>1</v>
      </c>
      <c r="M180" s="391">
        <f>'Different homes'!Q5</f>
        <v>2.6455545291483107</v>
      </c>
      <c r="N180" s="392">
        <f>'Different homes'!AN5</f>
        <v>141.13317141365042</v>
      </c>
      <c r="O180" s="392">
        <f>'Different homes'!AO5</f>
        <v>3676.4529751670152</v>
      </c>
      <c r="P180" s="392">
        <f>'Different homes'!AP5</f>
        <v>0</v>
      </c>
      <c r="Q180" s="392">
        <f>'Different homes'!AQ5</f>
        <v>364.55813541929433</v>
      </c>
      <c r="R180" s="392">
        <f>'Different homes'!AR5</f>
        <v>0</v>
      </c>
      <c r="S180" s="392">
        <f>'Different homes'!AS5</f>
        <v>436.19076593047606</v>
      </c>
      <c r="T180" s="392">
        <f>'Different homes'!AT5</f>
        <v>899.26744501478242</v>
      </c>
      <c r="U180" s="392">
        <f>'Different homes'!AU5</f>
        <v>78.410941086621364</v>
      </c>
      <c r="V180" s="392">
        <f>'Different homes'!AV5</f>
        <v>5.7148337042700037</v>
      </c>
      <c r="W180" s="392">
        <f>'Different homes'!AW5</f>
        <v>1784.1421211554441</v>
      </c>
      <c r="X180" s="392">
        <f>'Different homes'!AX5</f>
        <v>333.37826101697959</v>
      </c>
      <c r="Y180" s="392">
        <f>'Different homes'!AY5</f>
        <v>1030.2863700836872</v>
      </c>
      <c r="Z180" s="392">
        <f>'Different homes'!AZ5</f>
        <v>0</v>
      </c>
      <c r="AA180" s="392">
        <f>'Different homes'!BA5</f>
        <v>1784.1421211554434</v>
      </c>
      <c r="AB180" s="392">
        <f>'Different homes'!BB5</f>
        <v>-3.8232437777319108E-16</v>
      </c>
      <c r="AC180" s="392" t="str">
        <f>'Different homes'!BC5</f>
        <v>same</v>
      </c>
      <c r="AD180" s="392">
        <f>'Different homes'!CD5</f>
        <v>364.55813541929433</v>
      </c>
      <c r="AE180" s="392">
        <f>'Different homes'!CE5</f>
        <v>344.46333803045377</v>
      </c>
      <c r="AF180" s="392">
        <f>'Different homes'!CF5</f>
        <v>9.065096377096836</v>
      </c>
      <c r="AG180" s="392">
        <f>'Different homes'!CG5</f>
        <v>68.703888331681298</v>
      </c>
      <c r="AH180" s="392">
        <f>'Different homes'!CH5</f>
        <v>131.03476854870607</v>
      </c>
      <c r="AI180" s="392">
        <f>'Different homes'!CI5</f>
        <v>535.65654131913982</v>
      </c>
      <c r="AJ180" s="392">
        <f>'Different homes'!CJ5</f>
        <v>78.410941086621364</v>
      </c>
      <c r="AK180" s="392">
        <f>'Different homes'!CK5</f>
        <v>5.7148337042700037</v>
      </c>
      <c r="AL180" s="392">
        <f>'Different homes'!CL5</f>
        <v>246.53457833818038</v>
      </c>
      <c r="AM180" s="392">
        <f>'Different homes'!CM5</f>
        <v>0</v>
      </c>
      <c r="AN180" s="392">
        <f>'Different homes'!CN5</f>
        <v>0</v>
      </c>
      <c r="AO180" s="392">
        <f>'Different homes'!CO5</f>
        <v>246.53457833818038</v>
      </c>
      <c r="AP180" s="392">
        <f>'Different homes'!CP5</f>
        <v>1784.1421211554439</v>
      </c>
      <c r="AQ180" s="392"/>
      <c r="AR180" s="392"/>
      <c r="AS180" s="392"/>
      <c r="AT180" s="392"/>
      <c r="AU180" s="392"/>
      <c r="AV180" s="392"/>
      <c r="AW180" s="392"/>
      <c r="AX180" s="392"/>
      <c r="AY180" s="392"/>
      <c r="AZ180" s="392"/>
      <c r="BA180" s="392"/>
      <c r="BB180" s="392"/>
      <c r="BC180" s="392"/>
      <c r="BE180" s="392"/>
    </row>
    <row r="181" spans="1:57">
      <c r="A181" t="str">
        <f>'Different homes'!C13</f>
        <v>Efficient Electrify Everything home (based on big home, EV, with solar, no battery)</v>
      </c>
      <c r="B181" s="391">
        <f>'Different homes'!D13</f>
        <v>14000</v>
      </c>
      <c r="C181" s="391">
        <f>'Different homes'!E13</f>
        <v>38.356164383561641</v>
      </c>
      <c r="D181" s="391">
        <f>'Different homes'!F13</f>
        <v>3</v>
      </c>
      <c r="E181" s="391">
        <f>'Different homes'!G13</f>
        <v>1.598173515981735</v>
      </c>
      <c r="F181" s="391">
        <f>'Different homes'!H13</f>
        <v>0.53272450532724502</v>
      </c>
      <c r="G181" s="391">
        <f>'Different homes'!K13</f>
        <v>0</v>
      </c>
      <c r="H181" s="391">
        <f>'Different homes'!L13</f>
        <v>2520</v>
      </c>
      <c r="I181" s="391">
        <f>'Different homes'!M13</f>
        <v>16520</v>
      </c>
      <c r="J181" s="391">
        <f>'Different homes'!N13</f>
        <v>2160</v>
      </c>
      <c r="K181" s="391">
        <f>'Different homes'!O13</f>
        <v>216</v>
      </c>
      <c r="L181" s="391">
        <f>'Different homes'!P13</f>
        <v>0</v>
      </c>
      <c r="M181" s="391">
        <f>'Different homes'!Q13</f>
        <v>9.4440677966101685</v>
      </c>
      <c r="N181" s="392">
        <f>'Different homes'!AN13</f>
        <v>244.50000000000003</v>
      </c>
      <c r="O181" s="392">
        <f>'Different homes'!AO13</f>
        <v>13539.5</v>
      </c>
      <c r="P181" s="392">
        <f>'Different homes'!AP13</f>
        <v>0</v>
      </c>
      <c r="Q181" s="392">
        <f>'Different homes'!AQ13</f>
        <v>364.55813541929433</v>
      </c>
      <c r="R181" s="392">
        <f>'Different homes'!AR13</f>
        <v>0</v>
      </c>
      <c r="S181" s="392">
        <f>'Different homes'!AS13</f>
        <v>755.65964543815483</v>
      </c>
      <c r="T181" s="392">
        <f>'Different homes'!AT13</f>
        <v>3311.7876534853622</v>
      </c>
      <c r="U181" s="392">
        <f>'Different homes'!AU13</f>
        <v>0</v>
      </c>
      <c r="V181" s="392">
        <f>'Different homes'!AV13</f>
        <v>11.844692990522837</v>
      </c>
      <c r="W181" s="392">
        <f>'Different homes'!AW13</f>
        <v>4443.8501273333341</v>
      </c>
      <c r="X181" s="392">
        <f>'Different homes'!AX13</f>
        <v>317.41786623809531</v>
      </c>
      <c r="Y181" s="392">
        <f>'Different homes'!AY13</f>
        <v>1481.283375777778</v>
      </c>
      <c r="Z181" s="392">
        <f>'Different homes'!AZ13</f>
        <v>0</v>
      </c>
      <c r="AA181" s="392">
        <f>'Different homes'!BA13</f>
        <v>4078.1738215737732</v>
      </c>
      <c r="AB181" s="392">
        <f>'Different homes'!BB13</f>
        <v>-8.966667968518463E-2</v>
      </c>
      <c r="AC181" s="392" t="str">
        <f>'Different homes'!BC13</f>
        <v>paying $366 less (too little)</v>
      </c>
      <c r="AD181" s="392">
        <f>'Different homes'!CD13</f>
        <v>364.55813541929433</v>
      </c>
      <c r="AE181" s="392">
        <f>'Different homes'!CE13</f>
        <v>596.75046840405696</v>
      </c>
      <c r="AF181" s="392">
        <f>'Different homes'!CF13</f>
        <v>15.704430375932192</v>
      </c>
      <c r="AG181" s="392">
        <f>'Different homes'!CG13</f>
        <v>119.02305127022296</v>
      </c>
      <c r="AH181" s="392">
        <f>'Different homes'!CH13</f>
        <v>227.00546292024953</v>
      </c>
      <c r="AI181" s="392">
        <f>'Different homes'!CI13</f>
        <v>2118.4935309370812</v>
      </c>
      <c r="AJ181" s="392">
        <f>'Different homes'!CJ13</f>
        <v>0</v>
      </c>
      <c r="AK181" s="392">
        <f>'Different homes'!CK13</f>
        <v>11.844692990522837</v>
      </c>
      <c r="AL181" s="392">
        <f>'Different homes'!CL13</f>
        <v>0</v>
      </c>
      <c r="AM181" s="392">
        <f>'Different homes'!CM13</f>
        <v>0</v>
      </c>
      <c r="AN181" s="392">
        <f>'Different homes'!CN13</f>
        <v>0</v>
      </c>
      <c r="AO181" s="392">
        <f>'Different homes'!CO13</f>
        <v>644.93167469861316</v>
      </c>
      <c r="AP181" s="392">
        <f>'Different homes'!CP13</f>
        <v>4098.3114470159726</v>
      </c>
      <c r="AQ181" s="392"/>
      <c r="AR181" s="392"/>
      <c r="AS181" s="392"/>
      <c r="AT181" s="392"/>
      <c r="AU181" s="392"/>
      <c r="AV181" s="392"/>
      <c r="AW181" s="392"/>
      <c r="AX181" s="392"/>
      <c r="AY181" s="392"/>
      <c r="AZ181" s="392"/>
      <c r="BA181" s="392"/>
      <c r="BB181" s="392"/>
      <c r="BC181" s="392"/>
      <c r="BE181" s="392"/>
    </row>
    <row r="182" spans="1:57">
      <c r="S182" s="112" t="s">
        <v>611</v>
      </c>
      <c r="AC182" s="112" t="s">
        <v>612</v>
      </c>
      <c r="AD182" s="392">
        <f>'Different homes'!CD19</f>
        <v>364.55813541929433</v>
      </c>
      <c r="AE182" s="392">
        <f>'Different homes'!CE19</f>
        <v>596.75046840405696</v>
      </c>
      <c r="AF182" s="392">
        <f>'Different homes'!CF19</f>
        <v>15.704430375932192</v>
      </c>
      <c r="AG182" s="392">
        <f>'Different homes'!CG19</f>
        <v>119.02305127022296</v>
      </c>
      <c r="AH182" s="392">
        <f>'Different homes'!CH19</f>
        <v>227.00546292024953</v>
      </c>
      <c r="AI182" s="392">
        <f>'Different homes'!CI19</f>
        <v>1063.5221060713566</v>
      </c>
      <c r="AJ182" s="392">
        <f>'Different homes'!CJ19</f>
        <v>65.255484531121184</v>
      </c>
      <c r="AK182" s="392">
        <f>'Different homes'!CK19</f>
        <v>295.02059393061512</v>
      </c>
      <c r="AL182" s="392">
        <f>'Different homes'!CL19</f>
        <v>676.76728916909019</v>
      </c>
      <c r="AM182" s="392">
        <f>'Different homes'!CM19</f>
        <v>0</v>
      </c>
      <c r="AN182" s="392">
        <f>'Different homes'!CN19</f>
        <v>0</v>
      </c>
      <c r="AO182" s="392">
        <f>'Different homes'!CO19</f>
        <v>676.76728916909019</v>
      </c>
      <c r="AP182" s="392">
        <f>'Different homes'!CP19</f>
        <v>3423.6070220919391</v>
      </c>
    </row>
    <row r="183" spans="1:57">
      <c r="A183" s="112" t="s">
        <v>613</v>
      </c>
      <c r="I183" t="s">
        <v>614</v>
      </c>
      <c r="J183">
        <f>'1. Choose State'!D6</f>
        <v>17274.22430396223</v>
      </c>
      <c r="K183" t="s">
        <v>615</v>
      </c>
      <c r="L183" t="s">
        <v>616</v>
      </c>
      <c r="M183" t="s">
        <v>617</v>
      </c>
      <c r="N183">
        <f>'1. Choose State'!G6</f>
        <v>17274.22430396223</v>
      </c>
      <c r="S183" s="406">
        <f>AP182</f>
        <v>3423.6070220919391</v>
      </c>
      <c r="T183" s="392" t="s">
        <v>618</v>
      </c>
      <c r="U183" s="407" t="s">
        <v>619</v>
      </c>
      <c r="V183" s="392">
        <f>AP180</f>
        <v>1784.1421211554439</v>
      </c>
      <c r="W183" s="392"/>
      <c r="X183" s="392"/>
      <c r="Y183" s="392"/>
      <c r="Z183" s="392"/>
      <c r="AA183" s="392"/>
      <c r="AB183" s="392"/>
      <c r="AC183" s="392"/>
      <c r="AD183" s="392"/>
      <c r="AE183" s="392"/>
      <c r="AF183" s="392"/>
      <c r="AG183" s="392"/>
      <c r="AH183" s="392"/>
      <c r="AI183" s="392"/>
      <c r="AJ183" s="392"/>
      <c r="AK183" s="392"/>
      <c r="AL183" s="392"/>
      <c r="AM183" s="392"/>
      <c r="AN183" s="392"/>
      <c r="AO183" s="392"/>
      <c r="AP183" s="392"/>
    </row>
    <row r="184" spans="1:57">
      <c r="I184" s="400" t="str">
        <f>'1. Choose State'!C15</f>
        <v>Cost of Peak Demand (total)</v>
      </c>
      <c r="J184" s="400">
        <f>'1. Choose State'!D15</f>
        <v>3335.1249853212767</v>
      </c>
      <c r="K184" s="401">
        <f>J184/$J$183</f>
        <v>0.19306944998718648</v>
      </c>
      <c r="L184" s="400"/>
      <c r="M184" s="400"/>
      <c r="N184" s="400">
        <f>'1. Choose State'!F15</f>
        <v>3335.1249853212767</v>
      </c>
      <c r="S184" s="408">
        <f>AE182</f>
        <v>596.75046840405696</v>
      </c>
      <c r="AD184" s="392"/>
      <c r="AE184" s="392"/>
    </row>
    <row r="185" spans="1:57">
      <c r="I185" t="str">
        <f>'1. Choose State'!C16</f>
        <v>Breakdown of Peak Demand costs:</v>
      </c>
      <c r="J185">
        <f>'1. Choose State'!D16</f>
        <v>0</v>
      </c>
      <c r="K185" s="117">
        <f t="shared" ref="K185:K208" si="103">J185/$J$183</f>
        <v>0</v>
      </c>
      <c r="S185" s="124"/>
      <c r="AD185" s="392"/>
      <c r="AE185" s="392"/>
    </row>
    <row r="186" spans="1:57">
      <c r="I186" t="str">
        <f>'1. Choose State'!C17</f>
        <v>Wholesale peak demand costs</v>
      </c>
      <c r="J186">
        <f>'1. Choose State'!D17</f>
        <v>838.3214999999999</v>
      </c>
      <c r="K186" s="117">
        <f t="shared" si="103"/>
        <v>4.8530196508315117E-2</v>
      </c>
      <c r="L186" s="117">
        <f>J186/$J$184</f>
        <v>0.25136134438429253</v>
      </c>
      <c r="N186" s="119">
        <f>$N$184*L186</f>
        <v>838.32150000000001</v>
      </c>
      <c r="S186" s="124">
        <f>L186*$S$184</f>
        <v>150.00000000000003</v>
      </c>
      <c r="AD186" s="392"/>
      <c r="AE186" s="392"/>
    </row>
    <row r="187" spans="1:57">
      <c r="I187" t="str">
        <f>'1. Choose State'!C18</f>
        <v>Distribution peak demand costs</v>
      </c>
      <c r="J187">
        <f>'1. Choose State'!D18</f>
        <v>1993.8105853212769</v>
      </c>
      <c r="K187" s="117">
        <f t="shared" si="103"/>
        <v>0.11542113557388228</v>
      </c>
      <c r="L187" s="117">
        <f t="shared" ref="L187:L188" si="104">J187/$J$184</f>
        <v>0.59782184898513202</v>
      </c>
      <c r="N187" s="119">
        <f t="shared" ref="N187:N188" si="105">$N$184*L187</f>
        <v>1993.8105853212769</v>
      </c>
      <c r="S187" s="124">
        <f>L187*$S$184</f>
        <v>356.75046840405696</v>
      </c>
      <c r="U187" s="112" t="s">
        <v>620</v>
      </c>
    </row>
    <row r="188" spans="1:57">
      <c r="I188" t="str">
        <f>'1. Choose State'!C19</f>
        <v>Transmission peak demand costs</v>
      </c>
      <c r="J188">
        <f>'1. Choose State'!D19</f>
        <v>502.99289999999991</v>
      </c>
      <c r="K188" s="117">
        <f t="shared" si="103"/>
        <v>2.9118117904989065E-2</v>
      </c>
      <c r="L188" s="117">
        <f t="shared" si="104"/>
        <v>0.15081680663057548</v>
      </c>
      <c r="N188" s="119">
        <f t="shared" si="105"/>
        <v>502.99289999999985</v>
      </c>
      <c r="S188" s="124">
        <f>L188*$S$184</f>
        <v>90</v>
      </c>
      <c r="U188" t="s">
        <v>621</v>
      </c>
      <c r="V188" t="s">
        <v>622</v>
      </c>
      <c r="W188" t="s">
        <v>623</v>
      </c>
      <c r="X188" t="s">
        <v>624</v>
      </c>
    </row>
    <row r="189" spans="1:57">
      <c r="I189" t="str">
        <f>'1. Choose State'!C20</f>
        <v>OPEX</v>
      </c>
      <c r="J189">
        <f>'1. Choose State'!D20</f>
        <v>0</v>
      </c>
      <c r="K189" s="117">
        <f t="shared" si="103"/>
        <v>0</v>
      </c>
      <c r="O189" s="112" t="s">
        <v>620</v>
      </c>
      <c r="S189" s="124"/>
      <c r="U189" s="115">
        <f>C175</f>
        <v>1.1415525114155251E-2</v>
      </c>
      <c r="V189" s="115">
        <f>C174</f>
        <v>0.36073059360730597</v>
      </c>
      <c r="W189" s="115">
        <f>C173</f>
        <v>0.17123287671232876</v>
      </c>
      <c r="X189" s="115">
        <f>C172</f>
        <v>0.45662100456621002</v>
      </c>
    </row>
    <row r="190" spans="1:57">
      <c r="I190" s="400" t="str">
        <f>'1. Choose State'!C21</f>
        <v>Annual operating costs</v>
      </c>
      <c r="J190" s="400">
        <f>'1. Choose State'!D21</f>
        <v>11552.129382558471</v>
      </c>
      <c r="K190" s="401">
        <f t="shared" si="103"/>
        <v>0.66874952989401271</v>
      </c>
      <c r="M190" s="400"/>
      <c r="N190" s="400">
        <f>'1. Choose State'!F21</f>
        <v>11552.129382558469</v>
      </c>
      <c r="O190" t="s">
        <v>621</v>
      </c>
      <c r="P190" t="s">
        <v>622</v>
      </c>
      <c r="Q190" t="s">
        <v>623</v>
      </c>
      <c r="R190" t="s">
        <v>624</v>
      </c>
      <c r="S190" s="408">
        <f>AD182+SUM(AF182:AK182)</f>
        <v>2150.0892645187923</v>
      </c>
      <c r="U190" s="119">
        <f>AH182+AF182+AG182</f>
        <v>361.73294456640468</v>
      </c>
      <c r="V190" s="119">
        <f>AI182</f>
        <v>1063.5221060713566</v>
      </c>
      <c r="W190" s="119">
        <f>AJ182</f>
        <v>65.255484531121184</v>
      </c>
      <c r="X190" s="119">
        <f>AK182</f>
        <v>295.02059393061512</v>
      </c>
    </row>
    <row r="191" spans="1:57">
      <c r="I191" t="str">
        <f>'1. Choose State'!C22</f>
        <v>Breakdown of Annual Operating costs:</v>
      </c>
      <c r="J191">
        <f>'1. Choose State'!D22</f>
        <v>0</v>
      </c>
      <c r="K191" s="117">
        <f t="shared" si="103"/>
        <v>0</v>
      </c>
      <c r="O191" s="115">
        <f>B175</f>
        <v>1.1415525114155251E-2</v>
      </c>
      <c r="P191" s="115">
        <f>B174</f>
        <v>0.80593607305936077</v>
      </c>
      <c r="Q191" s="115">
        <f>B173</f>
        <v>9.1324200913242004E-2</v>
      </c>
      <c r="R191" s="115">
        <f>B172</f>
        <v>9.1324200913242004E-2</v>
      </c>
      <c r="S191" s="124">
        <f>S190-S197-S196</f>
        <v>1532.8218027688031</v>
      </c>
      <c r="T191" s="118"/>
    </row>
    <row r="192" spans="1:57">
      <c r="I192" t="str">
        <f>'1. Choose State'!C23</f>
        <v>Wholesale fuel + some capital costs</v>
      </c>
      <c r="J192">
        <f>'1. Choose State'!D23</f>
        <v>3473.5414150740207</v>
      </c>
      <c r="K192" s="117">
        <f t="shared" si="103"/>
        <v>0.2010823382834786</v>
      </c>
      <c r="L192" s="117">
        <f>J192/$J$190</f>
        <v>0.30068408169998606</v>
      </c>
      <c r="N192" s="119">
        <f>$N$190*L192</f>
        <v>3473.5414150740203</v>
      </c>
      <c r="S192" s="124">
        <f>$S$191*L192/(SUM($L$192:$L$194))</f>
        <v>1001.4498136067297</v>
      </c>
      <c r="U192" s="115">
        <f>(U190+V190)*U189/(U189+V189)-U193-U194-U196</f>
        <v>29.90176996757971</v>
      </c>
      <c r="V192" s="118">
        <f>S192-X192-W192-U192</f>
        <v>944.89593097551904</v>
      </c>
      <c r="W192" s="118">
        <f>W190-W193-W194</f>
        <v>-25.732869777453033</v>
      </c>
      <c r="X192" s="118">
        <f>X190-X193-X194</f>
        <v>52.384982441083878</v>
      </c>
    </row>
    <row r="193" spans="9:24">
      <c r="I193" t="str">
        <f>'1. Choose State'!C24</f>
        <v>Distribution operating costs</v>
      </c>
      <c r="J193">
        <f>'1. Choose State'!D24</f>
        <v>777.2353355284805</v>
      </c>
      <c r="K193" s="117">
        <f t="shared" si="103"/>
        <v>4.4993935580088781E-2</v>
      </c>
      <c r="L193" s="117">
        <f t="shared" ref="L193:L199" si="106">J193/$J$190</f>
        <v>6.7280698630501734E-2</v>
      </c>
      <c r="N193" s="119">
        <f t="shared" ref="N193:N199" si="107">$N$190*L193</f>
        <v>777.23533552848039</v>
      </c>
      <c r="S193" s="124">
        <f t="shared" ref="S193:S194" si="108">$S$191*L193/(SUM($L$192:$L$194))</f>
        <v>224.08317301637067</v>
      </c>
      <c r="U193">
        <f>$S$193*U189</f>
        <v>2.5580270892279753</v>
      </c>
      <c r="V193">
        <f>$S$193*V189</f>
        <v>80.833656019604035</v>
      </c>
      <c r="W193">
        <f>$S$193*W189</f>
        <v>38.370406338419635</v>
      </c>
      <c r="X193">
        <f>$S$193*X189</f>
        <v>102.32108356911903</v>
      </c>
    </row>
    <row r="194" spans="9:24">
      <c r="I194" t="str">
        <f>'1. Choose State'!C25</f>
        <v>RET, Government and jurisdictional charges</v>
      </c>
      <c r="J194">
        <f>'1. Choose State'!D25</f>
        <v>1065.835166943599</v>
      </c>
      <c r="K194" s="117">
        <f t="shared" si="103"/>
        <v>6.1700898876201685E-2</v>
      </c>
      <c r="L194" s="117">
        <f t="shared" si="106"/>
        <v>9.2263091214404888E-2</v>
      </c>
      <c r="N194" s="119">
        <f t="shared" si="107"/>
        <v>1065.8351669435988</v>
      </c>
      <c r="S194" s="124">
        <f t="shared" si="108"/>
        <v>307.28881614570275</v>
      </c>
      <c r="U194">
        <f>$S$194*U189</f>
        <v>3.507863198010305</v>
      </c>
      <c r="V194">
        <f>$S$194*V189</f>
        <v>110.84847705712566</v>
      </c>
      <c r="W194">
        <f>$S$194*W189</f>
        <v>52.617947970154582</v>
      </c>
      <c r="X194">
        <f>$S$194*X189</f>
        <v>140.31452792041222</v>
      </c>
    </row>
    <row r="195" spans="9:24">
      <c r="I195" t="str">
        <f>'1. Choose State'!C26</f>
        <v>Transfer to solar owners</v>
      </c>
      <c r="J195" t="str">
        <f>'1. Choose State'!D26</f>
        <v>?</v>
      </c>
      <c r="K195" s="117" t="e">
        <f t="shared" si="103"/>
        <v>#VALUE!</v>
      </c>
      <c r="L195" s="117"/>
      <c r="N195" s="119">
        <f t="shared" si="107"/>
        <v>0</v>
      </c>
      <c r="S195" s="124"/>
    </row>
    <row r="196" spans="9:24">
      <c r="I196" t="str">
        <f>'1. Choose State'!C27</f>
        <v>Shadow Carbon Price</v>
      </c>
      <c r="J196">
        <f>'1. Choose State'!D27</f>
        <v>2446.7544008840073</v>
      </c>
      <c r="K196" s="117">
        <f t="shared" si="103"/>
        <v>0.14164192601822298</v>
      </c>
      <c r="L196" s="117">
        <f t="shared" si="106"/>
        <v>0.21180115975658509</v>
      </c>
      <c r="N196" s="119">
        <f t="shared" si="107"/>
        <v>2446.7544008840068</v>
      </c>
      <c r="R196">
        <f>V183*K196</f>
        <v>252.70932633069481</v>
      </c>
      <c r="S196" s="124">
        <f>R196</f>
        <v>252.70932633069481</v>
      </c>
      <c r="U196" s="115">
        <f>S196*U189/(U189+V189)</f>
        <v>7.7518198260949323</v>
      </c>
      <c r="V196" s="115">
        <f>S196*V189/(V189+U189)</f>
        <v>244.95750650459991</v>
      </c>
    </row>
    <row r="197" spans="9:24">
      <c r="I197" t="str">
        <f>'1. Choose State'!C28</f>
        <v>Per customer costs</v>
      </c>
      <c r="J197">
        <f>'1. Choose State'!D28</f>
        <v>0</v>
      </c>
      <c r="K197" s="117">
        <f t="shared" si="103"/>
        <v>0</v>
      </c>
      <c r="L197" s="117">
        <f t="shared" si="106"/>
        <v>0</v>
      </c>
      <c r="N197" s="119">
        <f t="shared" si="107"/>
        <v>0</v>
      </c>
      <c r="S197" s="409">
        <f>AD182</f>
        <v>364.55813541929433</v>
      </c>
    </row>
    <row r="198" spans="9:24">
      <c r="I198" t="str">
        <f>'1. Choose State'!C29</f>
        <v>Retail costs</v>
      </c>
      <c r="J198">
        <f>'1. Choose State'!D29</f>
        <v>2626.9122833547917</v>
      </c>
      <c r="K198" s="117">
        <f t="shared" si="103"/>
        <v>0.15207121530500509</v>
      </c>
      <c r="L198" s="117">
        <f t="shared" si="106"/>
        <v>0.22739636965293447</v>
      </c>
      <c r="N198" s="119">
        <f t="shared" si="107"/>
        <v>2626.9122833547913</v>
      </c>
      <c r="S198" s="124">
        <f>$S$197/($J$198+$J$199)*J198</f>
        <v>252.76382495303446</v>
      </c>
    </row>
    <row r="199" spans="9:24">
      <c r="I199" t="str">
        <f>'1. Choose State'!C30</f>
        <v>Distribution per customer costs</v>
      </c>
      <c r="J199">
        <f>'1. Choose State'!D30</f>
        <v>1161.8507807735709</v>
      </c>
      <c r="K199" s="117">
        <f t="shared" si="103"/>
        <v>6.7259215831015601E-2</v>
      </c>
      <c r="L199" s="117">
        <f t="shared" si="106"/>
        <v>0.10057459904558771</v>
      </c>
      <c r="N199" s="119">
        <f t="shared" si="107"/>
        <v>1161.8507807735707</v>
      </c>
      <c r="S199" s="124">
        <f>$S$197/($J$198+$J$199)*J199</f>
        <v>111.7943104662599</v>
      </c>
    </row>
    <row r="200" spans="9:24">
      <c r="I200" t="str">
        <f>'1. Choose State'!C31</f>
        <v>Residual amounts</v>
      </c>
      <c r="J200">
        <f>'1. Choose State'!D31</f>
        <v>0</v>
      </c>
      <c r="K200" s="117">
        <f t="shared" si="103"/>
        <v>0</v>
      </c>
      <c r="S200" s="124"/>
    </row>
    <row r="201" spans="9:24">
      <c r="I201" s="400" t="str">
        <f>'1. Choose State'!C32</f>
        <v>Residual costs</v>
      </c>
      <c r="J201" s="400">
        <f>'1. Choose State'!D32</f>
        <v>2386.9699360824834</v>
      </c>
      <c r="K201" s="401">
        <f t="shared" si="103"/>
        <v>0.13818102011880085</v>
      </c>
      <c r="M201" s="400"/>
      <c r="N201" s="400">
        <f>'1. Choose State'!F32</f>
        <v>2386.9699360824852</v>
      </c>
      <c r="S201" s="408">
        <f>AL182</f>
        <v>676.76728916909019</v>
      </c>
    </row>
    <row r="202" spans="9:24">
      <c r="I202" t="str">
        <f>'1. Choose State'!C33</f>
        <v>Who generates residual costs?</v>
      </c>
      <c r="J202">
        <f>'1. Choose State'!D33</f>
        <v>0</v>
      </c>
      <c r="K202" s="117">
        <f t="shared" si="103"/>
        <v>0</v>
      </c>
      <c r="S202" s="124"/>
    </row>
    <row r="203" spans="9:24">
      <c r="I203" t="str">
        <f>'1. Choose State'!C34</f>
        <v>Wholesale market hedging etc.</v>
      </c>
      <c r="J203">
        <f>'1. Choose State'!D34</f>
        <v>2016.541021939111</v>
      </c>
      <c r="K203" s="117">
        <f t="shared" si="103"/>
        <v>0.11673699417441119</v>
      </c>
      <c r="N203" s="118">
        <f>N196+N204</f>
        <v>2016.5410219391101</v>
      </c>
      <c r="S203" s="124">
        <f>S196+S204</f>
        <v>130.73278283444233</v>
      </c>
    </row>
    <row r="204" spans="9:24">
      <c r="I204" t="str">
        <f>'1. Choose State'!C35</f>
        <v>Wholesale market net after shadow carbon price</v>
      </c>
      <c r="J204">
        <f>'1. Choose State'!D35</f>
        <v>-430.21337894489625</v>
      </c>
      <c r="K204" s="117">
        <f t="shared" si="103"/>
        <v>-2.4904931843811776E-2</v>
      </c>
      <c r="L204" s="117">
        <f>J204/$J$201</f>
        <v>-0.18023410033013082</v>
      </c>
      <c r="N204" s="119">
        <f>$N$201*L204</f>
        <v>-430.21337894489659</v>
      </c>
      <c r="S204" s="124">
        <f>$S$201*L204</f>
        <v>-121.97654349625246</v>
      </c>
    </row>
    <row r="205" spans="9:24">
      <c r="I205" t="str">
        <f>'1. Choose State'!C36</f>
        <v>Distribution residual costs</v>
      </c>
      <c r="J205">
        <f>'1. Choose State'!D36</f>
        <v>1837.9291276869308</v>
      </c>
      <c r="K205" s="117">
        <f t="shared" si="103"/>
        <v>0.10639720171199586</v>
      </c>
      <c r="L205" s="117">
        <f t="shared" ref="L205:L208" si="109">J205/$J$201</f>
        <v>0.769984196241431</v>
      </c>
      <c r="N205" s="119">
        <f t="shared" ref="N205:N208" si="110">$N$201*L205</f>
        <v>1837.9291276869324</v>
      </c>
      <c r="S205" s="124">
        <f t="shared" ref="S205:S208" si="111">$S$201*L205</f>
        <v>521.10011719335398</v>
      </c>
    </row>
    <row r="206" spans="9:24">
      <c r="I206" t="str">
        <f>'1. Choose State'!C37</f>
        <v>Transmission</v>
      </c>
      <c r="J206">
        <f>'1. Choose State'!D37</f>
        <v>577.97320728749537</v>
      </c>
      <c r="K206" s="117">
        <f t="shared" si="103"/>
        <v>3.3458706863898041E-2</v>
      </c>
      <c r="L206" s="117">
        <f t="shared" si="109"/>
        <v>0.24213677707062797</v>
      </c>
      <c r="N206" s="119">
        <f t="shared" si="110"/>
        <v>577.97320728749582</v>
      </c>
      <c r="S206" s="124">
        <f t="shared" si="111"/>
        <v>163.87025022622922</v>
      </c>
    </row>
    <row r="207" spans="9:24">
      <c r="I207" t="str">
        <f>'1. Choose State'!C38</f>
        <v>Retail</v>
      </c>
      <c r="J207">
        <f>'1. Choose State'!D38</f>
        <v>290.46269519339421</v>
      </c>
      <c r="K207" s="117">
        <f t="shared" si="103"/>
        <v>1.6814803957753987E-2</v>
      </c>
      <c r="L207" s="117">
        <f t="shared" si="109"/>
        <v>0.12168678406989247</v>
      </c>
      <c r="N207" s="119">
        <f t="shared" si="110"/>
        <v>290.46269519339444</v>
      </c>
      <c r="S207" s="124">
        <f t="shared" si="111"/>
        <v>82.353634982685563</v>
      </c>
    </row>
    <row r="208" spans="9:24">
      <c r="I208" t="str">
        <f>'1. Choose State'!C39</f>
        <v>Government and jurisdictional charges</v>
      </c>
      <c r="J208">
        <f>'1. Choose State'!D39</f>
        <v>110.81828485955918</v>
      </c>
      <c r="K208" s="117">
        <f t="shared" si="103"/>
        <v>6.4152394289647228E-3</v>
      </c>
      <c r="L208" s="117">
        <f t="shared" si="109"/>
        <v>4.6426342948179378E-2</v>
      </c>
      <c r="N208" s="119">
        <f t="shared" si="110"/>
        <v>110.81828485955927</v>
      </c>
      <c r="S208" s="124">
        <f t="shared" si="111"/>
        <v>31.419830263073862</v>
      </c>
    </row>
    <row r="209" spans="19:19">
      <c r="S209" s="124"/>
    </row>
  </sheetData>
  <mergeCells count="9">
    <mergeCell ref="M165:N165"/>
    <mergeCell ref="O165:R165"/>
    <mergeCell ref="S165:V165"/>
    <mergeCell ref="H164:K164"/>
    <mergeCell ref="B165:C165"/>
    <mergeCell ref="D165:E165"/>
    <mergeCell ref="F165:G165"/>
    <mergeCell ref="I165:J165"/>
    <mergeCell ref="K165:L165"/>
  </mergeCells>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40407-1109-4A48-8598-2466B4747853}">
  <sheetPr>
    <tabColor rgb="FF7030A0"/>
  </sheetPr>
  <dimension ref="A1:CP22"/>
  <sheetViews>
    <sheetView workbookViewId="0">
      <selection activeCell="D7" sqref="D7"/>
    </sheetView>
  </sheetViews>
  <sheetFormatPr defaultColWidth="8.7109375" defaultRowHeight="14.1"/>
  <cols>
    <col min="1" max="1" width="3" style="12" customWidth="1"/>
    <col min="2" max="2" width="8.7109375" style="15"/>
    <col min="3" max="3" width="43.42578125" style="15" customWidth="1"/>
    <col min="4" max="7" width="9.85546875" style="16" customWidth="1"/>
    <col min="8" max="8" width="8.140625" style="16" customWidth="1"/>
    <col min="9" max="9" width="6.140625" style="16" customWidth="1"/>
    <col min="10" max="10" width="6" style="16" customWidth="1"/>
    <col min="11" max="11" width="9.42578125" style="15" bestFit="1" customWidth="1"/>
    <col min="12" max="12" width="9.42578125" style="15" customWidth="1"/>
    <col min="13" max="13" width="8.7109375" style="15"/>
    <col min="14" max="14" width="9.42578125" style="15" bestFit="1" customWidth="1"/>
    <col min="15" max="15" width="9.42578125" style="15" customWidth="1"/>
    <col min="16" max="19" width="8.7109375" style="15"/>
    <col min="20" max="20" width="12" style="15" customWidth="1"/>
    <col min="21" max="40" width="8.7109375" style="15"/>
    <col min="41" max="41" width="9.85546875" style="15" bestFit="1" customWidth="1"/>
    <col min="42" max="42" width="8.7109375" style="15"/>
    <col min="43" max="43" width="9.42578125" style="15" bestFit="1" customWidth="1"/>
    <col min="44" max="44" width="9.140625" style="15" bestFit="1" customWidth="1"/>
    <col min="45" max="45" width="9.42578125" style="15" bestFit="1" customWidth="1"/>
    <col min="46" max="50" width="8.7109375" style="15"/>
    <col min="51" max="51" width="9.5703125" style="15" bestFit="1" customWidth="1"/>
    <col min="52" max="52" width="8.7109375" style="15"/>
    <col min="53" max="53" width="9.85546875" style="15" bestFit="1" customWidth="1"/>
    <col min="54" max="57" width="8.7109375" style="15"/>
    <col min="58" max="58" width="11" style="15" bestFit="1" customWidth="1"/>
    <col min="59" max="69" width="8.7109375" style="15"/>
    <col min="70" max="71" width="11" style="15" bestFit="1" customWidth="1"/>
    <col min="72" max="74" width="11" style="15" customWidth="1"/>
    <col min="75" max="79" width="8.7109375" style="15"/>
    <col min="80" max="80" width="9.7109375" style="15" customWidth="1"/>
    <col min="81" max="81" width="8.7109375" style="15"/>
    <col min="82" max="87" width="9.42578125" style="15" bestFit="1" customWidth="1"/>
    <col min="88" max="89" width="8.7109375" style="15"/>
    <col min="90" max="90" width="9.42578125" style="15" bestFit="1" customWidth="1"/>
    <col min="91" max="16384" width="8.7109375" style="15"/>
  </cols>
  <sheetData>
    <row r="1" spans="1:94" s="13" customFormat="1">
      <c r="A1" s="125" t="str">
        <f>VLOOKUP($B$1,Jurisdata3,36,FALSE)</f>
        <v>NEM</v>
      </c>
      <c r="B1" s="125" t="str">
        <f>'1. Choose State'!K4</f>
        <v>NEM</v>
      </c>
      <c r="D1" s="14"/>
      <c r="E1" s="14"/>
      <c r="F1" s="14"/>
      <c r="G1" s="14"/>
      <c r="H1" s="14"/>
      <c r="I1" s="14"/>
      <c r="J1" s="14"/>
    </row>
    <row r="2" spans="1:94">
      <c r="AD2" s="17" t="s">
        <v>625</v>
      </c>
      <c r="AN2" s="15" t="s">
        <v>626</v>
      </c>
      <c r="AQ2" s="17" t="s">
        <v>627</v>
      </c>
      <c r="AW2" s="15" t="s">
        <v>144</v>
      </c>
      <c r="BA2" s="17" t="s">
        <v>375</v>
      </c>
      <c r="BB2" s="15" t="s">
        <v>378</v>
      </c>
      <c r="BF2" s="17" t="s">
        <v>628</v>
      </c>
      <c r="BI2" s="17" t="s">
        <v>629</v>
      </c>
      <c r="BW2" s="17" t="s">
        <v>630</v>
      </c>
      <c r="CD2" s="17" t="s">
        <v>631</v>
      </c>
      <c r="CM2" s="18">
        <f>'7. Exploring Cross Subsidies'!E5</f>
        <v>0</v>
      </c>
      <c r="CN2" s="18">
        <f>'7. Exploring Cross Subsidies'!E6</f>
        <v>0</v>
      </c>
      <c r="CO2" s="18">
        <f>'7. Exploring Cross Subsidies'!E7</f>
        <v>1</v>
      </c>
    </row>
    <row r="3" spans="1:94" ht="21">
      <c r="T3" s="17" t="s">
        <v>632</v>
      </c>
      <c r="U3" s="18">
        <v>0.95</v>
      </c>
      <c r="V3" s="18">
        <v>0.8</v>
      </c>
      <c r="W3" s="18">
        <v>0.65</v>
      </c>
      <c r="X3" s="18"/>
      <c r="AC3" s="19" t="s">
        <v>633</v>
      </c>
      <c r="AD3" s="15" t="s">
        <v>634</v>
      </c>
      <c r="AE3" s="15" t="s">
        <v>634</v>
      </c>
      <c r="AF3" s="15" t="s">
        <v>634</v>
      </c>
      <c r="AG3" s="15" t="s">
        <v>634</v>
      </c>
      <c r="AI3" s="15" t="s">
        <v>635</v>
      </c>
      <c r="AJ3" s="15" t="s">
        <v>635</v>
      </c>
      <c r="AK3" s="15" t="s">
        <v>635</v>
      </c>
      <c r="AL3" s="15" t="s">
        <v>635</v>
      </c>
      <c r="AN3" s="15" t="s">
        <v>144</v>
      </c>
      <c r="AO3" s="15" t="s">
        <v>144</v>
      </c>
      <c r="AQ3" s="303">
        <f>'4. Calculator'!F15</f>
        <v>364.55813541929433</v>
      </c>
      <c r="AR3" s="303" t="str">
        <f>'4. Calculator'!F16</f>
        <v/>
      </c>
      <c r="AS3" s="37">
        <f>'4. Calculator'!F17</f>
        <v>309.06324966795694</v>
      </c>
      <c r="AT3" s="37">
        <f>'4. Calculator'!F18</f>
        <v>24.460191687177236</v>
      </c>
      <c r="AU3" s="37">
        <f>'4. Calculator'!F19</f>
        <v>5.4836541622790911</v>
      </c>
      <c r="AV3" s="37">
        <f>'4. Calculator'!F20</f>
        <v>5.4836541622790911</v>
      </c>
      <c r="BA3" s="302">
        <f>Lookups!F121/10</f>
        <v>26.52582632967485</v>
      </c>
      <c r="BF3" s="354">
        <f>IF('5. Easing in Change'!B7,IF('5. Easing in Change'!B20,'5. Easing in Change'!E12+'5. Easing in Change'!E34,'5. Easing in Change'!E12),IF('5. Easing in Change'!B20,'5. Easing in Change'!E34,0))</f>
        <v>6.0000000000000005E-2</v>
      </c>
      <c r="BG3" s="15" t="s">
        <v>636</v>
      </c>
      <c r="BI3" s="29">
        <f>'6. Transition Together '!E13</f>
        <v>364.55813541929433</v>
      </c>
      <c r="BJ3" s="29" t="str">
        <f>'6. Transition Together '!E6</f>
        <v/>
      </c>
      <c r="BK3" s="29">
        <f>'6. Transition Together '!E7</f>
        <v>299.17298570560814</v>
      </c>
      <c r="BL3" s="29">
        <f>'6. Transition Together '!E8</f>
        <v>9.8902639623487705</v>
      </c>
      <c r="BM3" s="29">
        <f>'6. Transition Together '!E9</f>
        <v>5.4836541622790911</v>
      </c>
      <c r="BN3" s="29">
        <f>'6. Transition Together '!E10</f>
        <v>5.4836541622790911</v>
      </c>
      <c r="BQ3" s="376">
        <v>0.01</v>
      </c>
      <c r="BR3" s="376">
        <f>'6. Transition Together '!E15</f>
        <v>0.25</v>
      </c>
      <c r="BS3" s="321">
        <f>BP5*(1-BR3)*0.09/0.9+BP5*BQ3/0.9</f>
        <v>56.546024625475106</v>
      </c>
      <c r="BT3" s="321"/>
      <c r="BU3" s="321" t="s">
        <v>637</v>
      </c>
      <c r="BV3" s="321" t="s">
        <v>622</v>
      </c>
      <c r="BW3" s="29">
        <f>Lookups!M141</f>
        <v>364.55813541929433</v>
      </c>
      <c r="BX3" s="29">
        <f>Lookups!M143/10</f>
        <v>299.17298570560814</v>
      </c>
      <c r="BY3" s="29">
        <f>Lookups!M144/10</f>
        <v>24.839863160891916</v>
      </c>
      <c r="BZ3" s="29">
        <f>Lookups!M145/10</f>
        <v>5.4836541622790902</v>
      </c>
      <c r="CA3" s="29">
        <f>Lookups!M146/10</f>
        <v>5.4836541622790911</v>
      </c>
      <c r="CD3" s="198">
        <f>Lookups!P69</f>
        <v>364.55813541929433</v>
      </c>
      <c r="CE3" s="198">
        <f>Lookups!P62</f>
        <v>198.91682280135231</v>
      </c>
      <c r="CF3" s="321">
        <f>Lookups!P63+IF('3. Charges'!B16,Lookups!Q70,0)</f>
        <v>551.03264476955064</v>
      </c>
      <c r="CG3" s="321">
        <f>Lookups!P64+IF('3. Charges'!B16,Lookups!Q70,0)</f>
        <v>551.03264476955064</v>
      </c>
      <c r="CH3" s="321">
        <f>Lookups!P65+IF('3. Charges'!B16,Lookups!Q70,0)</f>
        <v>291.03264476955064</v>
      </c>
      <c r="CI3" s="321">
        <f>Lookups!P66+IF('3. Charges'!B16,Lookups!Q70,0)</f>
        <v>166.03264476955064</v>
      </c>
      <c r="CJ3" s="321">
        <f>Lookups!P67</f>
        <v>54.836541622790911</v>
      </c>
      <c r="CK3" s="321">
        <f>Lookups!P68</f>
        <v>54.836541622790911</v>
      </c>
      <c r="CL3" s="397">
        <f>CL5</f>
        <v>246.53457833818038</v>
      </c>
      <c r="CM3" s="397">
        <f>$CL$3*CM2</f>
        <v>0</v>
      </c>
      <c r="CN3" s="397">
        <f t="shared" ref="CN3:CO3" si="0">$CL$3*CN2</f>
        <v>0</v>
      </c>
      <c r="CO3" s="397">
        <f t="shared" si="0"/>
        <v>246.53457833818038</v>
      </c>
    </row>
    <row r="4" spans="1:94" ht="42">
      <c r="C4" s="17" t="s">
        <v>638</v>
      </c>
      <c r="D4" s="19" t="s">
        <v>639</v>
      </c>
      <c r="E4" s="19" t="s">
        <v>207</v>
      </c>
      <c r="F4" s="19" t="s">
        <v>209</v>
      </c>
      <c r="G4" s="19" t="s">
        <v>210</v>
      </c>
      <c r="H4" s="19" t="s">
        <v>211</v>
      </c>
      <c r="I4" s="19" t="s">
        <v>640</v>
      </c>
      <c r="J4" s="19" t="s">
        <v>640</v>
      </c>
      <c r="K4" s="19" t="s">
        <v>641</v>
      </c>
      <c r="L4" s="19" t="s">
        <v>642</v>
      </c>
      <c r="M4" s="19" t="s">
        <v>390</v>
      </c>
      <c r="N4" s="19" t="s">
        <v>643</v>
      </c>
      <c r="O4" s="19" t="s">
        <v>644</v>
      </c>
      <c r="P4" s="19" t="s">
        <v>645</v>
      </c>
      <c r="Q4" s="19" t="s">
        <v>646</v>
      </c>
      <c r="R4" s="19"/>
      <c r="S4" s="19"/>
      <c r="T4" s="19" t="s">
        <v>218</v>
      </c>
      <c r="U4" s="19" t="s">
        <v>219</v>
      </c>
      <c r="V4" s="19" t="s">
        <v>221</v>
      </c>
      <c r="W4" s="19" t="s">
        <v>647</v>
      </c>
      <c r="X4" s="19" t="s">
        <v>225</v>
      </c>
      <c r="Y4" s="19" t="s">
        <v>226</v>
      </c>
      <c r="Z4" s="19" t="s">
        <v>227</v>
      </c>
      <c r="AA4" s="19" t="s">
        <v>228</v>
      </c>
      <c r="AB4" s="19"/>
      <c r="AC4" s="19" t="s">
        <v>648</v>
      </c>
      <c r="AD4" s="15" t="s">
        <v>634</v>
      </c>
      <c r="AE4" s="15" t="s">
        <v>148</v>
      </c>
      <c r="AF4" s="15" t="s">
        <v>635</v>
      </c>
      <c r="AG4" s="15" t="s">
        <v>649</v>
      </c>
      <c r="AI4" s="15" t="s">
        <v>634</v>
      </c>
      <c r="AJ4" s="15" t="s">
        <v>148</v>
      </c>
      <c r="AK4" s="15" t="s">
        <v>635</v>
      </c>
      <c r="AL4" s="15" t="s">
        <v>649</v>
      </c>
      <c r="AN4" s="15" t="s">
        <v>637</v>
      </c>
      <c r="AO4" s="15" t="s">
        <v>622</v>
      </c>
      <c r="AQ4" s="300" t="s">
        <v>650</v>
      </c>
      <c r="AR4" s="300" t="s">
        <v>321</v>
      </c>
      <c r="AS4" s="300" t="s">
        <v>651</v>
      </c>
      <c r="AT4" s="300" t="s">
        <v>652</v>
      </c>
      <c r="AU4" s="300" t="s">
        <v>653</v>
      </c>
      <c r="AV4" s="300" t="s">
        <v>654</v>
      </c>
      <c r="AW4" s="127" t="s">
        <v>548</v>
      </c>
      <c r="AX4" s="174" t="s">
        <v>320</v>
      </c>
      <c r="AY4" s="174" t="s">
        <v>321</v>
      </c>
      <c r="BA4" s="45"/>
      <c r="BF4" s="18">
        <f>BF3+'5. Easing in Change'!E15*'5. Easing in Change'!B7</f>
        <v>0.18</v>
      </c>
      <c r="BG4" s="15" t="s">
        <v>655</v>
      </c>
      <c r="BI4" s="300" t="s">
        <v>650</v>
      </c>
      <c r="BJ4" s="300" t="s">
        <v>321</v>
      </c>
      <c r="BK4" s="300" t="s">
        <v>651</v>
      </c>
      <c r="BL4" s="300" t="s">
        <v>652</v>
      </c>
      <c r="BM4" s="300" t="s">
        <v>653</v>
      </c>
      <c r="BN4" s="300" t="s">
        <v>654</v>
      </c>
      <c r="BO4" s="172" t="s">
        <v>656</v>
      </c>
      <c r="BP4" s="15" t="s">
        <v>603</v>
      </c>
      <c r="BQ4" s="56" t="s">
        <v>657</v>
      </c>
      <c r="BR4" s="296" t="s">
        <v>360</v>
      </c>
      <c r="BS4" s="296" t="s">
        <v>658</v>
      </c>
      <c r="BT4" s="296"/>
      <c r="BU4" s="296" t="s">
        <v>659</v>
      </c>
      <c r="BV4" s="296"/>
      <c r="BW4" s="300" t="s">
        <v>650</v>
      </c>
      <c r="BX4" s="300" t="s">
        <v>651</v>
      </c>
      <c r="BY4" s="300" t="s">
        <v>652</v>
      </c>
      <c r="BZ4" s="300" t="s">
        <v>653</v>
      </c>
      <c r="CA4" s="300" t="s">
        <v>654</v>
      </c>
      <c r="CB4" s="340" t="s">
        <v>656</v>
      </c>
      <c r="CD4" s="300" t="s">
        <v>650</v>
      </c>
      <c r="CE4" s="300" t="s">
        <v>321</v>
      </c>
      <c r="CF4" s="300" t="s">
        <v>660</v>
      </c>
      <c r="CG4" s="300" t="s">
        <v>661</v>
      </c>
      <c r="CH4" s="300" t="s">
        <v>662</v>
      </c>
      <c r="CI4" s="300" t="s">
        <v>663</v>
      </c>
      <c r="CJ4" s="300" t="s">
        <v>664</v>
      </c>
      <c r="CK4" s="300" t="s">
        <v>665</v>
      </c>
      <c r="CL4" s="300" t="s">
        <v>666</v>
      </c>
      <c r="CM4" s="300" t="s">
        <v>667</v>
      </c>
      <c r="CN4" s="300" t="s">
        <v>668</v>
      </c>
      <c r="CO4" s="300" t="s">
        <v>669</v>
      </c>
      <c r="CP4" s="340" t="s">
        <v>656</v>
      </c>
    </row>
    <row r="5" spans="1:94" s="21" customFormat="1" ht="22.5" customHeight="1">
      <c r="A5" s="20"/>
      <c r="C5" s="21" t="s">
        <v>670</v>
      </c>
      <c r="D5" s="22">
        <f>'2. Check Reference Home'!B5</f>
        <v>5351.7050443327325</v>
      </c>
      <c r="E5" s="22">
        <f>D5/365</f>
        <v>14.662205600911596</v>
      </c>
      <c r="F5" s="23">
        <f>'2. Check Reference Home'!B7</f>
        <v>1.7316953547687168</v>
      </c>
      <c r="G5" s="23">
        <f>E5/24</f>
        <v>0.61092523337131655</v>
      </c>
      <c r="H5" s="24">
        <f>G5/F5</f>
        <v>0.35279024782792179</v>
      </c>
      <c r="I5" s="23">
        <f>H5</f>
        <v>0.35279024782792179</v>
      </c>
      <c r="J5" s="24"/>
      <c r="K5" s="22">
        <f>'2. Check Reference Home'!B10</f>
        <v>1429.9031041379999</v>
      </c>
      <c r="L5" s="22">
        <f>'2. Check Reference Home'!E11</f>
        <v>694.22508929217213</v>
      </c>
      <c r="M5" s="22">
        <f>L5+D5</f>
        <v>6045.9301336249046</v>
      </c>
      <c r="N5" s="22">
        <f>'2. Check Reference Home'!B13</f>
        <v>1042.1579361406757</v>
      </c>
      <c r="O5" s="22">
        <f>'2. Check Reference Home'!B22</f>
        <v>104.21579361406758</v>
      </c>
      <c r="P5" s="25">
        <v>1</v>
      </c>
      <c r="Q5" s="26">
        <f>(D5-K5)/1000*'2. Check Reference Home'!B27/1000</f>
        <v>2.6455545291483107</v>
      </c>
      <c r="R5" s="26"/>
      <c r="S5" s="21" t="str">
        <f>C5</f>
        <v>Reference household</v>
      </c>
      <c r="T5" s="27">
        <f>F5</f>
        <v>1.7316953547687168</v>
      </c>
      <c r="U5" s="28">
        <f>$T5*U$3*10</f>
        <v>16.451105870302808</v>
      </c>
      <c r="V5" s="28">
        <f>$T5*V$3*90</f>
        <v>124.68206554334762</v>
      </c>
      <c r="W5" s="28">
        <f>$T5*W$3*400</f>
        <v>450.24079223986638</v>
      </c>
      <c r="X5" s="28">
        <f>D5-U5-V5-W5</f>
        <v>4760.331080679216</v>
      </c>
      <c r="Y5" s="28">
        <f>X5-Z5-AA5</f>
        <v>3226.2121829271487</v>
      </c>
      <c r="Z5" s="29">
        <f>K5</f>
        <v>1429.9031041379999</v>
      </c>
      <c r="AA5" s="29">
        <f>'2. Check Reference Home'!B22</f>
        <v>104.21579361406758</v>
      </c>
      <c r="AC5" s="21" t="str">
        <f>C5</f>
        <v>Reference household</v>
      </c>
      <c r="AD5" s="30">
        <v>1</v>
      </c>
      <c r="AE5" s="30">
        <v>1</v>
      </c>
      <c r="AF5" s="30">
        <v>1</v>
      </c>
      <c r="AG5" s="30">
        <v>1</v>
      </c>
      <c r="AH5" s="31" t="str">
        <f>AC5</f>
        <v>Reference household</v>
      </c>
      <c r="AI5" s="30">
        <v>1</v>
      </c>
      <c r="AJ5" s="30">
        <v>1</v>
      </c>
      <c r="AK5" s="30">
        <v>1</v>
      </c>
      <c r="AL5" s="30">
        <v>1</v>
      </c>
      <c r="AN5" s="84" cm="1">
        <f t="array" ref="AN5">IF(OR('4. Calculator'!$B$5=1,'4. Calculator'!$B$5=4),0,_xlfn.SWITCH('4. Calculator'!$B$6,1,U5,2,U5+V5,3,U5+V5+W5))</f>
        <v>141.13317141365042</v>
      </c>
      <c r="AO5" s="28">
        <f>Y5+W5+V5+U5-AN5</f>
        <v>3676.4529751670152</v>
      </c>
      <c r="AQ5" s="98">
        <f>IFERROR($AQ$3,0)</f>
        <v>364.55813541929433</v>
      </c>
      <c r="AR5" s="21">
        <f>IFERROR($AR$3*T5,0)</f>
        <v>0</v>
      </c>
      <c r="AS5" s="98">
        <f>IFERROR($AS$3*AN5,0)/100</f>
        <v>436.19076593047606</v>
      </c>
      <c r="AT5" s="98">
        <f>IFERROR($AT$3*AO5,0)/100</f>
        <v>899.26744501478242</v>
      </c>
      <c r="AU5" s="29">
        <f>IFERROR($AU$3*Z5,0)/100</f>
        <v>78.410941086621364</v>
      </c>
      <c r="AV5" s="29">
        <f>IFERROR($AV$3*AA5,0)/100</f>
        <v>5.7148337042700037</v>
      </c>
      <c r="AW5" s="304">
        <f>SUM(AQ5:AV5)</f>
        <v>1784.1421211554441</v>
      </c>
      <c r="AX5" s="304">
        <f>AW5/D5*1000</f>
        <v>333.37826101697959</v>
      </c>
      <c r="AY5" s="319">
        <f>AW5/F5</f>
        <v>1030.2863700836872</v>
      </c>
      <c r="BA5" s="28">
        <f>$BA$3*D5/100+AQ5</f>
        <v>1784.1421211554434</v>
      </c>
      <c r="BB5" s="232">
        <f>(BA5-AW5)/BA5</f>
        <v>-3.8232437777319108E-16</v>
      </c>
      <c r="BC5" s="21" t="str">
        <f>IF(ROUND(BB5,3)=0,"same",IF(ABS(BB5)&lt;0.02,"similar",IF(BB5&lt;0,CONCATENATE("paying $",ROUND(AW5-BA5,0)," less (too little)"),CONCATENATE("paying $",ROUND(BA5-AW5,0)," more (too much)"))))</f>
        <v>same</v>
      </c>
      <c r="BF5" s="98">
        <f>IF(BB5&lt;$BF$4*-1,'Different homes'!BA5*(1+'Different homes'!$BF$4),'Different homes'!AW5*(1+'Different homes'!$BF$3))</f>
        <v>1891.1906484247709</v>
      </c>
      <c r="BI5" s="98">
        <f>IFERROR($BI$3,0)</f>
        <v>364.55813541929433</v>
      </c>
      <c r="BJ5" s="21">
        <f>IFERROR($BJ$3*T5,0)</f>
        <v>0</v>
      </c>
      <c r="BK5" s="98">
        <f>IFERROR($BK$3*AN5,0)/100</f>
        <v>422.23232273923185</v>
      </c>
      <c r="BL5" s="98">
        <f>IFERROR($BL$3*AO5,0)/100</f>
        <v>363.61090369564249</v>
      </c>
      <c r="BM5" s="29">
        <f>IFERROR($BM$3*Z5,0)/100</f>
        <v>78.410941086621364</v>
      </c>
      <c r="BN5" s="29">
        <f>IFERROR($BN$3*AA5,0)/100</f>
        <v>5.7148337042700037</v>
      </c>
      <c r="BO5" s="304">
        <f>SUM(BI5:BN5)</f>
        <v>1234.52713664506</v>
      </c>
      <c r="BP5" s="304">
        <f>BF5-BO5</f>
        <v>656.66351177971092</v>
      </c>
      <c r="BQ5" s="304"/>
      <c r="BR5" s="304">
        <f>BP5*$BR$3+BO5</f>
        <v>1398.6930145899878</v>
      </c>
      <c r="BS5" s="304">
        <f>BF5+$BS$3</f>
        <v>1947.7366730502461</v>
      </c>
      <c r="BT5" s="304"/>
      <c r="BU5" s="84">
        <f>U5+V5</f>
        <v>141.13317141365042</v>
      </c>
      <c r="BV5" s="84">
        <f>Y5+W5</f>
        <v>3676.4529751670152</v>
      </c>
      <c r="BW5" s="98">
        <f>IFERROR($BW$3,0)</f>
        <v>364.55813541929433</v>
      </c>
      <c r="BX5" s="98">
        <f>IFERROR($BX$3*BU5,0)/100</f>
        <v>422.23232273923185</v>
      </c>
      <c r="BY5" s="98">
        <f>IFERROR($BY$3*BV5,0)/100</f>
        <v>913.2258882060263</v>
      </c>
      <c r="BZ5" s="29">
        <f>IFERROR($BZ$3*Z5,0)/100</f>
        <v>78.410941086621335</v>
      </c>
      <c r="CA5" s="29">
        <f>IFERROR($CA$3*AA5,0)/100</f>
        <v>5.7148337042700037</v>
      </c>
      <c r="CB5" s="304">
        <f>SUM(BW5:CA5)</f>
        <v>1784.1421211554439</v>
      </c>
      <c r="CD5" s="98">
        <f>IFERROR($CD$3,0)</f>
        <v>364.55813541929433</v>
      </c>
      <c r="CE5" s="98">
        <f>IFERROR($CE$3*F5,0)</f>
        <v>344.46333803045377</v>
      </c>
      <c r="CF5" s="98">
        <f>IFERROR($CF$3*U5,0)/1000</f>
        <v>9.065096377096836</v>
      </c>
      <c r="CG5" s="98">
        <f>IFERROR($CG$3*V5,0)/1000</f>
        <v>68.703888331681298</v>
      </c>
      <c r="CH5" s="98">
        <f>IFERROR($CH$3*W5,0)/1000</f>
        <v>131.03476854870607</v>
      </c>
      <c r="CI5" s="98">
        <f>IFERROR($CI$3*Y5,0)/1000</f>
        <v>535.65654131913982</v>
      </c>
      <c r="CJ5" s="98">
        <f>IFERROR($CJ$3*Z5,0)/1000</f>
        <v>78.410941086621364</v>
      </c>
      <c r="CK5" s="98">
        <f>IFERROR($CK$3*AA5,0)/1000</f>
        <v>5.7148337042700037</v>
      </c>
      <c r="CL5" s="304">
        <f>CB5-SUM(CD5:CK5)</f>
        <v>246.53457833818038</v>
      </c>
      <c r="CM5" s="304">
        <f>CM3</f>
        <v>0</v>
      </c>
      <c r="CN5" s="304">
        <f t="shared" ref="CN5:CO5" si="1">CN3</f>
        <v>0</v>
      </c>
      <c r="CO5" s="304">
        <f t="shared" si="1"/>
        <v>246.53457833818038</v>
      </c>
      <c r="CP5" s="304">
        <f>SUM(CD5:CK5,CM5:CO5)</f>
        <v>1784.1421211554439</v>
      </c>
    </row>
    <row r="6" spans="1:94" s="21" customFormat="1" ht="22.5" customHeight="1">
      <c r="A6" s="20"/>
      <c r="C6" s="21" t="s">
        <v>671</v>
      </c>
      <c r="D6" s="22">
        <f>M6-2100</f>
        <v>3945.9301336249046</v>
      </c>
      <c r="E6" s="22">
        <f t="shared" ref="E6:E17" si="2">D6/365</f>
        <v>10.8107674893833</v>
      </c>
      <c r="F6" s="32">
        <f>F5</f>
        <v>1.7316953547687168</v>
      </c>
      <c r="G6" s="23">
        <f>E6/24</f>
        <v>0.45044864539097085</v>
      </c>
      <c r="H6" s="24">
        <f t="shared" ref="H6:H17" si="3">G6/F6</f>
        <v>0.26012002870512535</v>
      </c>
      <c r="I6" s="23">
        <f t="shared" ref="I6:I15" si="4">H6</f>
        <v>0.26012002870512535</v>
      </c>
      <c r="J6" s="24"/>
      <c r="K6" s="30">
        <v>0</v>
      </c>
      <c r="L6" s="22">
        <f>M6-D6</f>
        <v>2100</v>
      </c>
      <c r="M6" s="22">
        <f>M5</f>
        <v>6045.9301336249046</v>
      </c>
      <c r="N6" s="21">
        <f>N5</f>
        <v>1042.1579361406757</v>
      </c>
      <c r="O6" s="29">
        <f>O5</f>
        <v>104.21579361406758</v>
      </c>
      <c r="P6" s="25">
        <f>VLOOKUP(A1,statehomes,6,FALSE)</f>
        <v>0.31</v>
      </c>
      <c r="Q6" s="26">
        <f>(D6-K6)/1000*'2. Check Reference Home'!B27/1000</f>
        <v>2.6618308359029017</v>
      </c>
      <c r="R6" s="26"/>
      <c r="S6" s="21" t="str">
        <f t="shared" ref="S6:S17" si="5">C6</f>
        <v>average solar home</v>
      </c>
      <c r="T6" s="27">
        <f t="shared" ref="T6:T17" si="6">F6</f>
        <v>1.7316953547687168</v>
      </c>
      <c r="U6" s="28">
        <f t="shared" ref="U6:U17" si="7">$T6*U$3*10</f>
        <v>16.451105870302808</v>
      </c>
      <c r="V6" s="28">
        <f t="shared" ref="V6:V17" si="8">$T6*V$3*90</f>
        <v>124.68206554334762</v>
      </c>
      <c r="W6" s="28">
        <f t="shared" ref="W6:W17" si="9">$T6*W$3*400</f>
        <v>450.24079223986638</v>
      </c>
      <c r="X6" s="28">
        <f t="shared" ref="X6:X17" si="10">D6-U6-V6-W6</f>
        <v>3354.5561699713876</v>
      </c>
      <c r="Y6" s="28">
        <f t="shared" ref="Y6:Y17" si="11">X6-Z6-AA6</f>
        <v>3250.3403763573201</v>
      </c>
      <c r="Z6" s="29">
        <f t="shared" ref="Z6:Z17" si="12">K6</f>
        <v>0</v>
      </c>
      <c r="AA6" s="29">
        <f>O6</f>
        <v>104.21579361406758</v>
      </c>
      <c r="AC6" s="21" t="str">
        <f t="shared" ref="AC6:AC17" si="13">C6</f>
        <v>average solar home</v>
      </c>
      <c r="AD6" s="30">
        <v>1</v>
      </c>
      <c r="AE6" s="23">
        <f>F6/$F$5</f>
        <v>1</v>
      </c>
      <c r="AF6" s="23">
        <f>D6/$D$5</f>
        <v>0.73732204987707717</v>
      </c>
      <c r="AG6" s="23">
        <f>(D6-K6-AA6)/($D$5-$K$5-$AA$5)</f>
        <v>1.0063202747767155</v>
      </c>
      <c r="AH6" s="31" t="str">
        <f t="shared" ref="AH6:AH17" si="14">AC6</f>
        <v>average solar home</v>
      </c>
      <c r="AI6" s="23">
        <f>$D$5/D6</f>
        <v>1.3562594529306633</v>
      </c>
      <c r="AJ6" s="23">
        <f>AE6/AF6</f>
        <v>1.3562594529306633</v>
      </c>
      <c r="AK6" s="30">
        <v>1</v>
      </c>
      <c r="AL6" s="23">
        <f>AG6/AF6</f>
        <v>1.3648313853417031</v>
      </c>
      <c r="AN6" s="84" cm="1">
        <f t="array" ref="AN6">IF(OR('4. Calculator'!$B$5=1,'4. Calculator'!$B$5=4),0,_xlfn.SWITCH('4. Calculator'!$B$6,1,U6,2,U6+V6,3,U6+V6+W6))</f>
        <v>141.13317141365042</v>
      </c>
      <c r="AO6" s="28">
        <f t="shared" ref="AO6:AO17" si="15">Y6+W6+V6+U6-AN6</f>
        <v>3700.5811685971867</v>
      </c>
      <c r="AQ6" s="98">
        <f t="shared" ref="AQ6:AQ17" si="16">IFERROR($AQ$3,0)</f>
        <v>364.55813541929433</v>
      </c>
      <c r="AR6" s="21">
        <f t="shared" ref="AR6:AR17" si="17">IFERROR($AR$3*T6,0)</f>
        <v>0</v>
      </c>
      <c r="AS6" s="98">
        <f t="shared" ref="AS6:AS17" si="18">IFERROR($AS$3*AN6,0)/100</f>
        <v>436.19076593047606</v>
      </c>
      <c r="AT6" s="98">
        <f t="shared" ref="AT6:AT17" si="19">IFERROR($AT$3*AO6,0)/100</f>
        <v>905.16924737845534</v>
      </c>
      <c r="AU6" s="29">
        <f t="shared" ref="AU6:AU17" si="20">IFERROR($AU$3*Z6,0)/100</f>
        <v>0</v>
      </c>
      <c r="AV6" s="29">
        <f t="shared" ref="AV6:AV17" si="21">IFERROR($AV$3*AA6,0)/100</f>
        <v>5.7148337042700037</v>
      </c>
      <c r="AW6" s="304">
        <f t="shared" ref="AW6:AW17" si="22">SUM(AQ6:AV6)</f>
        <v>1711.6329824324957</v>
      </c>
      <c r="AX6" s="304">
        <f t="shared" ref="AX6:AX17" si="23">AW6/D6*1000</f>
        <v>433.77174062129541</v>
      </c>
      <c r="AY6" s="319">
        <f t="shared" ref="AY6:AY17" si="24">AW6/F6</f>
        <v>988.41460636769989</v>
      </c>
      <c r="BA6" s="28">
        <f t="shared" ref="BA6:BA17" si="25">$BA$3*D6/100+AQ6</f>
        <v>1411.2487097549431</v>
      </c>
      <c r="BB6" s="232">
        <f t="shared" ref="BB6:BB17" si="26">(BA6-AW6)/BA6</f>
        <v>-0.21284998923379919</v>
      </c>
      <c r="BC6" s="21" t="str">
        <f t="shared" ref="BC6:BC17" si="27">IF(ROUND(BB6,3)=0,"same",IF(ABS(BB6)&lt;0.02,"similar",IF(BB6&lt;0,CONCATENATE("paying $",ROUND(AW6-BA6,0)," less (too little)"),CONCATENATE("paying $",ROUND(BA6-AW6,0)," more (too much)"))))</f>
        <v>paying $300 less (too little)</v>
      </c>
      <c r="BF6" s="98">
        <f>IF(BB6&lt;$BF$4*-1,'Different homes'!BA6*(1+'Different homes'!$BF$4),'Different homes'!AW6*(1+'Different homes'!$BF$3))</f>
        <v>1665.2734775108327</v>
      </c>
      <c r="BI6" s="98">
        <f t="shared" ref="BI6:BI17" si="28">IFERROR($BI$3,0)</f>
        <v>364.55813541929433</v>
      </c>
      <c r="BJ6" s="21">
        <f t="shared" ref="BJ6:BJ17" si="29">IFERROR($BJ$3*T6,0)</f>
        <v>0</v>
      </c>
      <c r="BK6" s="98">
        <f t="shared" ref="BK6:BK17" si="30">IFERROR($BK$3*AN6,0)/100</f>
        <v>422.23232273923185</v>
      </c>
      <c r="BL6" s="98">
        <f t="shared" ref="BL6:BL17" si="31">IFERROR($BL$3*AO6,0)/100</f>
        <v>365.99724571523257</v>
      </c>
      <c r="BM6" s="29">
        <f t="shared" ref="BM6:BM17" si="32">IFERROR($BM$3*Z6,0)/100</f>
        <v>0</v>
      </c>
      <c r="BN6" s="29">
        <f t="shared" ref="BN6:BN17" si="33">IFERROR($BN$3*AA6,0)/100</f>
        <v>5.7148337042700037</v>
      </c>
      <c r="BO6" s="304">
        <f t="shared" ref="BO6:BO17" si="34">SUM(BI6:BN6)</f>
        <v>1158.5025375780288</v>
      </c>
      <c r="BP6" s="304">
        <f t="shared" ref="BP6:BP17" si="35">BF6-BO6</f>
        <v>506.77093993280391</v>
      </c>
      <c r="BQ6" s="304"/>
      <c r="BR6" s="304">
        <f t="shared" ref="BR6:BR17" si="36">BP6*$BR$3+BO6</f>
        <v>1285.1952725612298</v>
      </c>
      <c r="BS6" s="304">
        <f t="shared" ref="BS6:BS17" si="37">BF6+$BS$3</f>
        <v>1721.8195021363078</v>
      </c>
      <c r="BT6" s="304"/>
      <c r="BU6" s="84">
        <f t="shared" ref="BU6:BU17" si="38">U6+V6</f>
        <v>141.13317141365042</v>
      </c>
      <c r="BV6" s="84">
        <f t="shared" ref="BV6:BV17" si="39">Y6+W6</f>
        <v>3700.5811685971867</v>
      </c>
      <c r="BW6" s="98">
        <f t="shared" ref="BW6:BW17" si="40">IFERROR($BW$3,0)</f>
        <v>364.55813541929433</v>
      </c>
      <c r="BX6" s="98">
        <f t="shared" ref="BX6:BX17" si="41">IFERROR($BX$3*BU6,0)/100</f>
        <v>422.23232273923185</v>
      </c>
      <c r="BY6" s="98">
        <f t="shared" ref="BY6:BY17" si="42">IFERROR($BY$3*BV6,0)/100</f>
        <v>919.21929843727617</v>
      </c>
      <c r="BZ6" s="29">
        <f t="shared" ref="BZ6:BZ17" si="43">IFERROR($BZ$3*Z6,0)/100</f>
        <v>0</v>
      </c>
      <c r="CA6" s="29">
        <f t="shared" ref="CA6:CA17" si="44">IFERROR($CA$3*AA6,0)/100</f>
        <v>5.7148337042700037</v>
      </c>
      <c r="CB6" s="304">
        <f t="shared" ref="CB6:CB17" si="45">SUM(BW6:CA6)</f>
        <v>1711.7245903000724</v>
      </c>
      <c r="CD6" s="98">
        <f t="shared" ref="CD6:CD19" si="46">IFERROR($CD$3,0)</f>
        <v>364.55813541929433</v>
      </c>
      <c r="CE6" s="98">
        <f t="shared" ref="CE6:CE17" si="47">IFERROR($CE$3*F6,0)</f>
        <v>344.46333803045377</v>
      </c>
      <c r="CF6" s="98">
        <f t="shared" ref="CF6:CF17" si="48">IFERROR($CF$3*U6,0)/1000</f>
        <v>9.065096377096836</v>
      </c>
      <c r="CG6" s="98">
        <f t="shared" ref="CG6:CG17" si="49">IFERROR($CG$3*V6,0)/1000</f>
        <v>68.703888331681298</v>
      </c>
      <c r="CH6" s="98">
        <f t="shared" ref="CH6:CH17" si="50">IFERROR($CH$3*W6,0)/1000</f>
        <v>131.03476854870607</v>
      </c>
      <c r="CI6" s="98">
        <f t="shared" ref="CI6:CI17" si="51">IFERROR($CI$3*Y6,0)/1000</f>
        <v>539.66260908786239</v>
      </c>
      <c r="CJ6" s="98">
        <f t="shared" ref="CJ6:CJ17" si="52">IFERROR($CJ$3*Z6,0)/1000</f>
        <v>0</v>
      </c>
      <c r="CK6" s="98">
        <f t="shared" ref="CK6:CK17" si="53">IFERROR($CK$3*AA6,0)/1000</f>
        <v>5.7148337042700037</v>
      </c>
      <c r="CM6" s="304">
        <f>CM$3</f>
        <v>0</v>
      </c>
      <c r="CN6" s="304">
        <f>CN$3/$F$5*F6</f>
        <v>0</v>
      </c>
      <c r="CO6" s="304">
        <f>CO$3/$D$5*D6</f>
        <v>181.77538066588801</v>
      </c>
      <c r="CP6" s="304">
        <f t="shared" ref="CP6:CP17" si="54">SUM(CD6:CK6,CM6:CO6)</f>
        <v>1644.9780501652526</v>
      </c>
    </row>
    <row r="7" spans="1:94" s="21" customFormat="1" ht="22.5" customHeight="1">
      <c r="A7" s="20"/>
      <c r="C7" s="21" t="s">
        <v>672</v>
      </c>
      <c r="D7" s="22">
        <f>M7</f>
        <v>6045.9301336249046</v>
      </c>
      <c r="E7" s="22">
        <f t="shared" si="2"/>
        <v>16.564192146917545</v>
      </c>
      <c r="F7" s="27">
        <f>F6</f>
        <v>1.7316953547687168</v>
      </c>
      <c r="G7" s="23">
        <f t="shared" ref="G7:G17" si="55">E7/24</f>
        <v>0.69017467278823108</v>
      </c>
      <c r="H7" s="24">
        <f t="shared" si="3"/>
        <v>0.39855432474750158</v>
      </c>
      <c r="I7" s="23">
        <f t="shared" si="4"/>
        <v>0.39855432474750158</v>
      </c>
      <c r="J7" s="24"/>
      <c r="K7" s="22">
        <f>K5/P7</f>
        <v>2072.3233393304349</v>
      </c>
      <c r="L7" s="22">
        <v>0</v>
      </c>
      <c r="M7" s="22">
        <f>M6</f>
        <v>6045.9301336249046</v>
      </c>
      <c r="N7" s="21">
        <f>N6</f>
        <v>1042.1579361406757</v>
      </c>
      <c r="O7" s="29">
        <f>O5</f>
        <v>104.21579361406758</v>
      </c>
      <c r="P7" s="25">
        <f>1-P6</f>
        <v>0.69</v>
      </c>
      <c r="Q7" s="26">
        <f>(D7-K7)/1000*'2. Check Reference Home'!B27/1000</f>
        <v>2.6805008544562692</v>
      </c>
      <c r="R7" s="26"/>
      <c r="S7" s="21" t="str">
        <f t="shared" si="5"/>
        <v>average non-solar home</v>
      </c>
      <c r="T7" s="27">
        <f t="shared" si="6"/>
        <v>1.7316953547687168</v>
      </c>
      <c r="U7" s="28">
        <f t="shared" si="7"/>
        <v>16.451105870302808</v>
      </c>
      <c r="V7" s="28">
        <f t="shared" si="8"/>
        <v>124.68206554334762</v>
      </c>
      <c r="W7" s="28">
        <f t="shared" si="9"/>
        <v>450.24079223986638</v>
      </c>
      <c r="X7" s="28">
        <f t="shared" si="10"/>
        <v>5454.556169971388</v>
      </c>
      <c r="Y7" s="28">
        <f t="shared" si="11"/>
        <v>3278.0170370268856</v>
      </c>
      <c r="Z7" s="29">
        <f t="shared" si="12"/>
        <v>2072.3233393304349</v>
      </c>
      <c r="AA7" s="29">
        <f t="shared" ref="AA7:AA17" si="56">O7</f>
        <v>104.21579361406758</v>
      </c>
      <c r="AC7" s="21" t="str">
        <f t="shared" si="13"/>
        <v>average non-solar home</v>
      </c>
      <c r="AD7" s="30">
        <v>1</v>
      </c>
      <c r="AE7" s="23">
        <f t="shared" ref="AE7:AE17" si="57">F7/$F$5</f>
        <v>1</v>
      </c>
      <c r="AF7" s="23">
        <f t="shared" ref="AF7:AF17" si="58">D7/$D$5</f>
        <v>1.1297203570714967</v>
      </c>
      <c r="AG7" s="23">
        <f t="shared" ref="AG7:AG17" si="59">(D7-K7-AA7)/($D$5-$K$5-$AA$5)</f>
        <v>1.0135700550323239</v>
      </c>
      <c r="AH7" s="31" t="str">
        <f t="shared" si="14"/>
        <v>average non-solar home</v>
      </c>
      <c r="AI7" s="23">
        <f t="shared" ref="AI7:AI17" si="60">$D$5/D7</f>
        <v>0.88517480785442992</v>
      </c>
      <c r="AJ7" s="23">
        <f t="shared" ref="AJ7:AJ17" si="61">AE7/AF7</f>
        <v>0.88517480785442992</v>
      </c>
      <c r="AK7" s="30">
        <v>1</v>
      </c>
      <c r="AL7" s="23">
        <f t="shared" ref="AL7:AL17" si="62">AG7/AF7</f>
        <v>0.89718667871024127</v>
      </c>
      <c r="AN7" s="84" cm="1">
        <f t="array" ref="AN7">IF(OR('4. Calculator'!$B$5=1,'4. Calculator'!$B$5=4),0,_xlfn.SWITCH('4. Calculator'!$B$6,1,U7,2,U7+V7,3,U7+V7+W7))</f>
        <v>141.13317141365042</v>
      </c>
      <c r="AO7" s="28">
        <f t="shared" si="15"/>
        <v>3728.2578292667522</v>
      </c>
      <c r="AQ7" s="98">
        <f t="shared" si="16"/>
        <v>364.55813541929433</v>
      </c>
      <c r="AR7" s="21">
        <f t="shared" si="17"/>
        <v>0</v>
      </c>
      <c r="AS7" s="98">
        <f t="shared" si="18"/>
        <v>436.19076593047606</v>
      </c>
      <c r="AT7" s="98">
        <f t="shared" si="19"/>
        <v>911.93901163084058</v>
      </c>
      <c r="AU7" s="29">
        <f t="shared" si="20"/>
        <v>113.63904505307444</v>
      </c>
      <c r="AV7" s="29">
        <f t="shared" si="21"/>
        <v>5.7148337042700037</v>
      </c>
      <c r="AW7" s="304">
        <f t="shared" si="22"/>
        <v>1832.0417917379555</v>
      </c>
      <c r="AX7" s="304">
        <f t="shared" si="23"/>
        <v>303.0206686559136</v>
      </c>
      <c r="AY7" s="319">
        <f t="shared" si="24"/>
        <v>1057.9469343108799</v>
      </c>
      <c r="BA7" s="28">
        <f t="shared" si="25"/>
        <v>1968.2910626781152</v>
      </c>
      <c r="BB7" s="232">
        <f t="shared" si="26"/>
        <v>6.9222115328194861E-2</v>
      </c>
      <c r="BC7" s="21" t="str">
        <f t="shared" si="27"/>
        <v>paying $136 more (too much)</v>
      </c>
      <c r="BF7" s="98">
        <f>IF(BB7&lt;$BF$4*-1,'Different homes'!BA7*(1+'Different homes'!$BF$4),'Different homes'!AW7*(1+'Different homes'!$BF$3))</f>
        <v>1941.964299242233</v>
      </c>
      <c r="BI7" s="98">
        <f t="shared" si="28"/>
        <v>364.55813541929433</v>
      </c>
      <c r="BJ7" s="21">
        <f t="shared" si="29"/>
        <v>0</v>
      </c>
      <c r="BK7" s="98">
        <f t="shared" si="30"/>
        <v>422.23232273923185</v>
      </c>
      <c r="BL7" s="98">
        <f t="shared" si="31"/>
        <v>368.73454051141613</v>
      </c>
      <c r="BM7" s="29">
        <f t="shared" si="32"/>
        <v>113.63904505307444</v>
      </c>
      <c r="BN7" s="29">
        <f t="shared" si="33"/>
        <v>5.7148337042700037</v>
      </c>
      <c r="BO7" s="304">
        <f t="shared" si="34"/>
        <v>1274.8788774272866</v>
      </c>
      <c r="BP7" s="304">
        <f t="shared" si="35"/>
        <v>667.08542181494636</v>
      </c>
      <c r="BQ7" s="304"/>
      <c r="BR7" s="304">
        <f t="shared" si="36"/>
        <v>1441.6502328810232</v>
      </c>
      <c r="BS7" s="304">
        <f t="shared" si="37"/>
        <v>1998.5103238677082</v>
      </c>
      <c r="BT7" s="304"/>
      <c r="BU7" s="84">
        <f t="shared" si="38"/>
        <v>141.13317141365042</v>
      </c>
      <c r="BV7" s="84">
        <f t="shared" si="39"/>
        <v>3728.2578292667522</v>
      </c>
      <c r="BW7" s="98">
        <f t="shared" si="40"/>
        <v>364.55813541929433</v>
      </c>
      <c r="BX7" s="98">
        <f t="shared" si="41"/>
        <v>422.23232273923185</v>
      </c>
      <c r="BY7" s="98">
        <f t="shared" si="42"/>
        <v>926.09414307510053</v>
      </c>
      <c r="BZ7" s="29">
        <f t="shared" si="43"/>
        <v>113.63904505307443</v>
      </c>
      <c r="CA7" s="29">
        <f t="shared" si="44"/>
        <v>5.7148337042700037</v>
      </c>
      <c r="CB7" s="304">
        <f t="shared" si="45"/>
        <v>1832.238479990971</v>
      </c>
      <c r="CD7" s="98">
        <f t="shared" si="46"/>
        <v>364.55813541929433</v>
      </c>
      <c r="CE7" s="98">
        <f t="shared" si="47"/>
        <v>344.46333803045377</v>
      </c>
      <c r="CF7" s="98">
        <f t="shared" si="48"/>
        <v>9.065096377096836</v>
      </c>
      <c r="CG7" s="98">
        <f t="shared" si="49"/>
        <v>68.703888331681298</v>
      </c>
      <c r="CH7" s="98">
        <f t="shared" si="50"/>
        <v>131.03476854870607</v>
      </c>
      <c r="CI7" s="98">
        <f t="shared" si="51"/>
        <v>544.25783825721987</v>
      </c>
      <c r="CJ7" s="98">
        <f t="shared" si="52"/>
        <v>113.63904505307444</v>
      </c>
      <c r="CK7" s="98">
        <f t="shared" si="53"/>
        <v>5.7148337042700037</v>
      </c>
      <c r="CM7" s="304">
        <f t="shared" ref="CM7:CM17" si="63">CM$3</f>
        <v>0</v>
      </c>
      <c r="CN7" s="304">
        <f t="shared" ref="CN7:CN17" si="64">CN$3/$F$5*F7</f>
        <v>0</v>
      </c>
      <c r="CO7" s="304">
        <f t="shared" ref="CO7:CO17" si="65">CO$3/$D$5*D7</f>
        <v>278.51513187068002</v>
      </c>
      <c r="CP7" s="304">
        <f t="shared" si="54"/>
        <v>1859.9520755924766</v>
      </c>
    </row>
    <row r="8" spans="1:94" s="21" customFormat="1" ht="22.5" customHeight="1">
      <c r="A8" s="20"/>
      <c r="C8" s="21" t="s">
        <v>673</v>
      </c>
      <c r="D8" s="30">
        <v>3500</v>
      </c>
      <c r="E8" s="22">
        <f t="shared" si="2"/>
        <v>9.5890410958904102</v>
      </c>
      <c r="F8" s="32">
        <v>0.951590594744122</v>
      </c>
      <c r="G8" s="23">
        <f t="shared" si="55"/>
        <v>0.39954337899543374</v>
      </c>
      <c r="H8" s="24">
        <f t="shared" si="3"/>
        <v>0.41986898693851527</v>
      </c>
      <c r="I8" s="23">
        <f t="shared" si="4"/>
        <v>0.41986898693851527</v>
      </c>
      <c r="J8" s="24"/>
      <c r="K8" s="22">
        <f>K5/D5*D8</f>
        <v>935.15259585966135</v>
      </c>
      <c r="L8" s="22">
        <f>L5</f>
        <v>694.22508929217213</v>
      </c>
      <c r="M8" s="22">
        <f>L8+D8</f>
        <v>4194.225089292172</v>
      </c>
      <c r="N8" s="21">
        <v>0</v>
      </c>
      <c r="O8" s="21">
        <v>0</v>
      </c>
      <c r="P8" s="25">
        <f>VLOOKUP(A1,statehomes,7,FALSE)</f>
        <v>0.42102336881073577</v>
      </c>
      <c r="Q8" s="26">
        <f>(D8-K8)/1000*'2. Check Reference Home'!B27/1000</f>
        <v>1.7301851980472116</v>
      </c>
      <c r="R8" s="26"/>
      <c r="S8" s="21" t="str">
        <f t="shared" si="5"/>
        <v>average gas home</v>
      </c>
      <c r="T8" s="27">
        <f t="shared" si="6"/>
        <v>0.951590594744122</v>
      </c>
      <c r="U8" s="28">
        <f t="shared" si="7"/>
        <v>9.0401106500691579</v>
      </c>
      <c r="V8" s="28">
        <f t="shared" si="8"/>
        <v>68.51452282157679</v>
      </c>
      <c r="W8" s="28">
        <f t="shared" si="9"/>
        <v>247.41355463347173</v>
      </c>
      <c r="X8" s="28">
        <f t="shared" si="10"/>
        <v>3175.0318118948821</v>
      </c>
      <c r="Y8" s="28">
        <f t="shared" si="11"/>
        <v>2239.8792160352209</v>
      </c>
      <c r="Z8" s="29">
        <f t="shared" si="12"/>
        <v>935.15259585966135</v>
      </c>
      <c r="AA8" s="29">
        <f t="shared" si="56"/>
        <v>0</v>
      </c>
      <c r="AC8" s="21" t="str">
        <f t="shared" si="13"/>
        <v>average gas home</v>
      </c>
      <c r="AD8" s="30">
        <v>1</v>
      </c>
      <c r="AE8" s="23">
        <f t="shared" si="57"/>
        <v>0.54951385769075722</v>
      </c>
      <c r="AF8" s="23">
        <f t="shared" si="58"/>
        <v>0.65399717865736584</v>
      </c>
      <c r="AG8" s="23">
        <f t="shared" si="59"/>
        <v>0.6718505635917662</v>
      </c>
      <c r="AH8" s="31" t="str">
        <f t="shared" si="14"/>
        <v>average gas home</v>
      </c>
      <c r="AI8" s="23">
        <f t="shared" si="60"/>
        <v>1.5290585840950663</v>
      </c>
      <c r="AJ8" s="23">
        <f t="shared" si="61"/>
        <v>0.84023888118124701</v>
      </c>
      <c r="AK8" s="30">
        <v>1</v>
      </c>
      <c r="AL8" s="23">
        <f t="shared" si="62"/>
        <v>1.0272988714890985</v>
      </c>
      <c r="AN8" s="84" cm="1">
        <f t="array" ref="AN8">IF(OR('4. Calculator'!$B$5=1,'4. Calculator'!$B$5=4),0,_xlfn.SWITCH('4. Calculator'!$B$6,1,U8,2,U8+V8,3,U8+V8+W8))</f>
        <v>77.554633471645943</v>
      </c>
      <c r="AO8" s="28">
        <f t="shared" si="15"/>
        <v>2487.2927706686928</v>
      </c>
      <c r="AQ8" s="98">
        <f t="shared" si="16"/>
        <v>364.55813541929433</v>
      </c>
      <c r="AR8" s="21">
        <f t="shared" si="17"/>
        <v>0</v>
      </c>
      <c r="AS8" s="98">
        <f t="shared" si="18"/>
        <v>239.69287047554201</v>
      </c>
      <c r="AT8" s="98">
        <f t="shared" si="19"/>
        <v>608.39657952686389</v>
      </c>
      <c r="AU8" s="29">
        <f t="shared" si="20"/>
        <v>51.280534246519281</v>
      </c>
      <c r="AV8" s="29">
        <f t="shared" si="21"/>
        <v>0</v>
      </c>
      <c r="AW8" s="304">
        <f t="shared" si="22"/>
        <v>1263.9281196682193</v>
      </c>
      <c r="AX8" s="304">
        <f t="shared" si="23"/>
        <v>361.12231990520553</v>
      </c>
      <c r="AY8" s="319">
        <f t="shared" si="24"/>
        <v>1328.2267885466895</v>
      </c>
      <c r="BA8" s="28">
        <f t="shared" si="25"/>
        <v>1292.9620569579142</v>
      </c>
      <c r="BB8" s="232">
        <f t="shared" si="26"/>
        <v>2.2455366832655598E-2</v>
      </c>
      <c r="BC8" s="21" t="str">
        <f t="shared" si="27"/>
        <v>paying $29 more (too much)</v>
      </c>
      <c r="BF8" s="98">
        <f>IF(BB8&lt;$BF$4*-1,'Different homes'!BA8*(1+'Different homes'!$BF$4),'Different homes'!AW8*(1+'Different homes'!$BF$3))</f>
        <v>1339.7638068483125</v>
      </c>
      <c r="BI8" s="98">
        <f t="shared" si="28"/>
        <v>364.55813541929433</v>
      </c>
      <c r="BJ8" s="21">
        <f t="shared" si="29"/>
        <v>0</v>
      </c>
      <c r="BK8" s="98">
        <f t="shared" si="30"/>
        <v>232.02251251016409</v>
      </c>
      <c r="BL8" s="98">
        <f t="shared" si="31"/>
        <v>245.99982053555198</v>
      </c>
      <c r="BM8" s="29">
        <f t="shared" si="32"/>
        <v>51.280534246519281</v>
      </c>
      <c r="BN8" s="29">
        <f t="shared" si="33"/>
        <v>0</v>
      </c>
      <c r="BO8" s="304">
        <f t="shared" si="34"/>
        <v>893.86100271152975</v>
      </c>
      <c r="BP8" s="304">
        <f t="shared" si="35"/>
        <v>445.90280413678272</v>
      </c>
      <c r="BQ8" s="304"/>
      <c r="BR8" s="304">
        <f t="shared" si="36"/>
        <v>1005.3367037457255</v>
      </c>
      <c r="BS8" s="304">
        <f t="shared" si="37"/>
        <v>1396.3098314737877</v>
      </c>
      <c r="BT8" s="304"/>
      <c r="BU8" s="84">
        <f t="shared" si="38"/>
        <v>77.554633471645943</v>
      </c>
      <c r="BV8" s="84">
        <f t="shared" si="39"/>
        <v>2487.2927706686928</v>
      </c>
      <c r="BW8" s="98">
        <f t="shared" si="40"/>
        <v>364.55813541929433</v>
      </c>
      <c r="BX8" s="98">
        <f t="shared" si="41"/>
        <v>232.02251251016409</v>
      </c>
      <c r="BY8" s="98">
        <f t="shared" si="42"/>
        <v>617.84012064486046</v>
      </c>
      <c r="BZ8" s="29">
        <f t="shared" si="43"/>
        <v>51.280534246519281</v>
      </c>
      <c r="CA8" s="29">
        <f t="shared" si="44"/>
        <v>0</v>
      </c>
      <c r="CB8" s="304">
        <f t="shared" si="45"/>
        <v>1265.7013028208382</v>
      </c>
      <c r="CD8" s="98">
        <f t="shared" si="46"/>
        <v>364.55813541929433</v>
      </c>
      <c r="CE8" s="98">
        <f t="shared" si="47"/>
        <v>189.28737771414998</v>
      </c>
      <c r="CF8" s="98">
        <f t="shared" si="48"/>
        <v>4.9813960805169897</v>
      </c>
      <c r="CG8" s="98">
        <f t="shared" si="49"/>
        <v>37.753738715497192</v>
      </c>
      <c r="CH8" s="98">
        <f t="shared" si="50"/>
        <v>72.00542115681499</v>
      </c>
      <c r="CI8" s="98">
        <f t="shared" si="51"/>
        <v>371.8930702026754</v>
      </c>
      <c r="CJ8" s="98">
        <f t="shared" si="52"/>
        <v>51.280534246519288</v>
      </c>
      <c r="CK8" s="98">
        <f t="shared" si="53"/>
        <v>0</v>
      </c>
      <c r="CM8" s="304">
        <f t="shared" si="63"/>
        <v>0</v>
      </c>
      <c r="CN8" s="304">
        <f t="shared" si="64"/>
        <v>0</v>
      </c>
      <c r="CO8" s="304">
        <f t="shared" si="65"/>
        <v>161.23291867465329</v>
      </c>
      <c r="CP8" s="304">
        <f t="shared" si="54"/>
        <v>1252.9925922101215</v>
      </c>
    </row>
    <row r="9" spans="1:94" s="21" customFormat="1" ht="22.5" customHeight="1">
      <c r="A9" s="20"/>
      <c r="C9" s="21" t="s">
        <v>674</v>
      </c>
      <c r="D9" s="30">
        <v>7000</v>
      </c>
      <c r="E9" s="22">
        <f t="shared" si="2"/>
        <v>19.17808219178082</v>
      </c>
      <c r="F9" s="32">
        <v>2.2996772706316273</v>
      </c>
      <c r="G9" s="23">
        <f t="shared" si="55"/>
        <v>0.79908675799086748</v>
      </c>
      <c r="H9" s="24">
        <f t="shared" si="3"/>
        <v>0.34747778229394383</v>
      </c>
      <c r="I9" s="23">
        <f t="shared" si="4"/>
        <v>0.34747778229394383</v>
      </c>
      <c r="J9" s="24"/>
      <c r="K9" s="22">
        <f>K5/D5*D9</f>
        <v>1870.3051917193227</v>
      </c>
      <c r="L9" s="22">
        <f>L5</f>
        <v>694.22508929217213</v>
      </c>
      <c r="M9" s="22">
        <f>L9+D9</f>
        <v>7694.225089292172</v>
      </c>
      <c r="N9" s="21">
        <v>1800</v>
      </c>
      <c r="O9" s="21">
        <f>N9/N5*O5</f>
        <v>180</v>
      </c>
      <c r="P9" s="25">
        <f>1-P8</f>
        <v>0.57897663118926423</v>
      </c>
      <c r="Q9" s="26">
        <f>(D9-K9)/1000*'2. Check Reference Home'!B27/1000</f>
        <v>3.4603703960944232</v>
      </c>
      <c r="R9" s="26"/>
      <c r="S9" s="21" t="str">
        <f t="shared" si="5"/>
        <v>average electric home</v>
      </c>
      <c r="T9" s="27">
        <f t="shared" si="6"/>
        <v>2.2996772706316273</v>
      </c>
      <c r="U9" s="28">
        <f t="shared" si="7"/>
        <v>21.846934071000458</v>
      </c>
      <c r="V9" s="28">
        <f t="shared" si="8"/>
        <v>165.57676348547716</v>
      </c>
      <c r="W9" s="28">
        <f t="shared" si="9"/>
        <v>597.91609036422312</v>
      </c>
      <c r="X9" s="28">
        <f t="shared" si="10"/>
        <v>6214.6602120792986</v>
      </c>
      <c r="Y9" s="28">
        <f t="shared" si="11"/>
        <v>4164.3550203599762</v>
      </c>
      <c r="Z9" s="29">
        <f t="shared" si="12"/>
        <v>1870.3051917193227</v>
      </c>
      <c r="AA9" s="29">
        <f t="shared" si="56"/>
        <v>180</v>
      </c>
      <c r="AC9" s="21" t="str">
        <f t="shared" si="13"/>
        <v>average electric home</v>
      </c>
      <c r="AD9" s="30">
        <v>1</v>
      </c>
      <c r="AE9" s="23">
        <f t="shared" si="57"/>
        <v>1.3279918227526628</v>
      </c>
      <c r="AF9" s="23">
        <f t="shared" si="58"/>
        <v>1.3079943573147317</v>
      </c>
      <c r="AG9" s="23">
        <f t="shared" si="59"/>
        <v>1.2965509141723022</v>
      </c>
      <c r="AH9" s="31" t="str">
        <f t="shared" si="14"/>
        <v>average electric home</v>
      </c>
      <c r="AI9" s="23">
        <f t="shared" si="60"/>
        <v>0.76452929204753317</v>
      </c>
      <c r="AJ9" s="23">
        <f t="shared" si="61"/>
        <v>1.0152886480940064</v>
      </c>
      <c r="AK9" s="30">
        <v>1</v>
      </c>
      <c r="AL9" s="23">
        <f t="shared" si="62"/>
        <v>0.99125115251573215</v>
      </c>
      <c r="AN9" s="84" cm="1">
        <f t="array" ref="AN9">IF(OR('4. Calculator'!$B$5=1,'4. Calculator'!$B$5=4),0,_xlfn.SWITCH('4. Calculator'!$B$6,1,U9,2,U9+V9,3,U9+V9+W9))</f>
        <v>187.42369755647761</v>
      </c>
      <c r="AO9" s="28">
        <f t="shared" si="15"/>
        <v>4762.2711107242003</v>
      </c>
      <c r="AQ9" s="98">
        <f t="shared" si="16"/>
        <v>364.55813541929433</v>
      </c>
      <c r="AR9" s="21">
        <f t="shared" si="17"/>
        <v>0</v>
      </c>
      <c r="AS9" s="98">
        <f t="shared" si="18"/>
        <v>579.25777031589291</v>
      </c>
      <c r="AT9" s="98">
        <f t="shared" si="19"/>
        <v>1164.8606423462038</v>
      </c>
      <c r="AU9" s="29">
        <f t="shared" si="20"/>
        <v>102.56106849303856</v>
      </c>
      <c r="AV9" s="29">
        <f t="shared" si="21"/>
        <v>9.8705774921023632</v>
      </c>
      <c r="AW9" s="304">
        <f t="shared" si="22"/>
        <v>2221.1081940665317</v>
      </c>
      <c r="AX9" s="304">
        <f t="shared" si="23"/>
        <v>317.3011705809331</v>
      </c>
      <c r="AY9" s="319">
        <f t="shared" si="24"/>
        <v>965.83473795715872</v>
      </c>
      <c r="BA9" s="28">
        <f t="shared" si="25"/>
        <v>2221.3659784965339</v>
      </c>
      <c r="BB9" s="232">
        <f t="shared" si="26"/>
        <v>1.1604770780573897E-4</v>
      </c>
      <c r="BC9" s="21" t="str">
        <f t="shared" si="27"/>
        <v>same</v>
      </c>
      <c r="BF9" s="98">
        <f>IF(BB9&lt;$BF$4*-1,'Different homes'!BA9*(1+'Different homes'!$BF$4),'Different homes'!AW9*(1+'Different homes'!$BF$3))</f>
        <v>2354.3746857105239</v>
      </c>
      <c r="BI9" s="98">
        <f t="shared" si="28"/>
        <v>364.55813541929433</v>
      </c>
      <c r="BJ9" s="21">
        <f t="shared" si="29"/>
        <v>0</v>
      </c>
      <c r="BK9" s="98">
        <f t="shared" si="30"/>
        <v>560.72107189956296</v>
      </c>
      <c r="BL9" s="98">
        <f t="shared" si="31"/>
        <v>471.00118345330208</v>
      </c>
      <c r="BM9" s="29">
        <f t="shared" si="32"/>
        <v>102.56106849303856</v>
      </c>
      <c r="BN9" s="29">
        <f t="shared" si="33"/>
        <v>9.8705774921023632</v>
      </c>
      <c r="BO9" s="304">
        <f t="shared" si="34"/>
        <v>1508.7120367573002</v>
      </c>
      <c r="BP9" s="304">
        <f t="shared" si="35"/>
        <v>845.66264895322365</v>
      </c>
      <c r="BQ9" s="304"/>
      <c r="BR9" s="304">
        <f t="shared" si="36"/>
        <v>1720.1276989956061</v>
      </c>
      <c r="BS9" s="304">
        <f t="shared" si="37"/>
        <v>2410.920710335999</v>
      </c>
      <c r="BT9" s="304"/>
      <c r="BU9" s="84">
        <f t="shared" si="38"/>
        <v>187.42369755647761</v>
      </c>
      <c r="BV9" s="84">
        <f t="shared" si="39"/>
        <v>4762.2711107241994</v>
      </c>
      <c r="BW9" s="98">
        <f t="shared" si="40"/>
        <v>364.55813541929433</v>
      </c>
      <c r="BX9" s="98">
        <f t="shared" si="41"/>
        <v>560.72107189956296</v>
      </c>
      <c r="BY9" s="98">
        <f t="shared" si="42"/>
        <v>1182.9416272545786</v>
      </c>
      <c r="BZ9" s="29">
        <f t="shared" si="43"/>
        <v>102.56106849303856</v>
      </c>
      <c r="CA9" s="29">
        <f t="shared" si="44"/>
        <v>9.8705774921023632</v>
      </c>
      <c r="CB9" s="304">
        <f t="shared" si="45"/>
        <v>2220.6524805585768</v>
      </c>
      <c r="CD9" s="98">
        <f t="shared" si="46"/>
        <v>364.55813541929433</v>
      </c>
      <c r="CE9" s="98">
        <f t="shared" si="47"/>
        <v>457.44449614252892</v>
      </c>
      <c r="CF9" s="98">
        <f t="shared" si="48"/>
        <v>12.038373861249388</v>
      </c>
      <c r="CG9" s="98">
        <f t="shared" si="49"/>
        <v>91.23820189578484</v>
      </c>
      <c r="CH9" s="98">
        <f t="shared" si="50"/>
        <v>174.01310112896948</v>
      </c>
      <c r="CI9" s="98">
        <f t="shared" si="51"/>
        <v>691.41887778972273</v>
      </c>
      <c r="CJ9" s="98">
        <f t="shared" si="52"/>
        <v>102.56106849303858</v>
      </c>
      <c r="CK9" s="98">
        <f t="shared" si="53"/>
        <v>9.8705774921023632</v>
      </c>
      <c r="CM9" s="304">
        <f t="shared" si="63"/>
        <v>0</v>
      </c>
      <c r="CN9" s="304">
        <f t="shared" si="64"/>
        <v>0</v>
      </c>
      <c r="CO9" s="304">
        <f t="shared" si="65"/>
        <v>322.46583734930658</v>
      </c>
      <c r="CP9" s="304">
        <f t="shared" si="54"/>
        <v>2225.6086695719973</v>
      </c>
    </row>
    <row r="10" spans="1:94" s="21" customFormat="1" ht="22.5" customHeight="1">
      <c r="A10" s="20"/>
      <c r="C10" s="21" t="s">
        <v>675</v>
      </c>
      <c r="D10" s="30">
        <v>5000</v>
      </c>
      <c r="E10" s="22">
        <f t="shared" si="2"/>
        <v>13.698630136986301</v>
      </c>
      <c r="F10" s="32">
        <v>4</v>
      </c>
      <c r="G10" s="23">
        <f t="shared" si="55"/>
        <v>0.57077625570776258</v>
      </c>
      <c r="H10" s="24">
        <f t="shared" si="3"/>
        <v>0.14269406392694065</v>
      </c>
      <c r="I10" s="23">
        <f t="shared" si="4"/>
        <v>0.14269406392694065</v>
      </c>
      <c r="J10" s="24"/>
      <c r="K10" s="22">
        <f>K8*1.2</f>
        <v>1122.1831150315936</v>
      </c>
      <c r="L10" s="22">
        <f>L8*1.2</f>
        <v>833.07010715060653</v>
      </c>
      <c r="M10" s="22">
        <f>L10+D10</f>
        <v>5833.0701071506064</v>
      </c>
      <c r="N10" s="21">
        <v>0</v>
      </c>
      <c r="O10" s="21">
        <v>0</v>
      </c>
      <c r="Q10" s="26">
        <f>(D10-K10)/1000*'2. Check Reference Home'!B27/1000</f>
        <v>2.615883254605806</v>
      </c>
      <c r="R10" s="26"/>
      <c r="S10" s="21" t="str">
        <f t="shared" si="5"/>
        <v>big gas home</v>
      </c>
      <c r="T10" s="27">
        <f t="shared" si="6"/>
        <v>4</v>
      </c>
      <c r="U10" s="28">
        <f t="shared" si="7"/>
        <v>38</v>
      </c>
      <c r="V10" s="28">
        <f t="shared" si="8"/>
        <v>288</v>
      </c>
      <c r="W10" s="28">
        <f t="shared" si="9"/>
        <v>1040</v>
      </c>
      <c r="X10" s="28">
        <f t="shared" si="10"/>
        <v>3634</v>
      </c>
      <c r="Y10" s="28">
        <f t="shared" si="11"/>
        <v>2511.8168849684062</v>
      </c>
      <c r="Z10" s="29">
        <f t="shared" si="12"/>
        <v>1122.1831150315936</v>
      </c>
      <c r="AA10" s="29">
        <f t="shared" si="56"/>
        <v>0</v>
      </c>
      <c r="AC10" s="21" t="str">
        <f t="shared" si="13"/>
        <v>big gas home</v>
      </c>
      <c r="AD10" s="30">
        <v>1</v>
      </c>
      <c r="AE10" s="23">
        <f t="shared" si="57"/>
        <v>2.3098751111070777</v>
      </c>
      <c r="AF10" s="23">
        <f t="shared" si="58"/>
        <v>0.93428168379623688</v>
      </c>
      <c r="AG10" s="23">
        <f t="shared" si="59"/>
        <v>1.0157771785822538</v>
      </c>
      <c r="AH10" s="31" t="str">
        <f t="shared" si="14"/>
        <v>big gas home</v>
      </c>
      <c r="AI10" s="23">
        <f t="shared" si="60"/>
        <v>1.0703410088665466</v>
      </c>
      <c r="AJ10" s="23">
        <f t="shared" si="61"/>
        <v>2.4723540567780757</v>
      </c>
      <c r="AK10" s="30">
        <v>1</v>
      </c>
      <c r="AL10" s="23">
        <f t="shared" si="62"/>
        <v>1.0872279701073437</v>
      </c>
      <c r="AN10" s="84" cm="1">
        <f t="array" ref="AN10">IF(OR('4. Calculator'!$B$5=1,'4. Calculator'!$B$5=4),0,_xlfn.SWITCH('4. Calculator'!$B$6,1,U10,2,U10+V10,3,U10+V10+W10))</f>
        <v>326</v>
      </c>
      <c r="AO10" s="28">
        <f t="shared" si="15"/>
        <v>3551.8168849684062</v>
      </c>
      <c r="AQ10" s="98">
        <f t="shared" si="16"/>
        <v>364.55813541929433</v>
      </c>
      <c r="AR10" s="21">
        <f t="shared" si="17"/>
        <v>0</v>
      </c>
      <c r="AS10" s="98">
        <f t="shared" si="18"/>
        <v>1007.5461939175397</v>
      </c>
      <c r="AT10" s="98">
        <f t="shared" si="19"/>
        <v>868.78121844079953</v>
      </c>
      <c r="AU10" s="29">
        <f t="shared" si="20"/>
        <v>61.536641095823143</v>
      </c>
      <c r="AV10" s="29">
        <f t="shared" si="21"/>
        <v>0</v>
      </c>
      <c r="AW10" s="304">
        <f t="shared" si="22"/>
        <v>2302.4221888734564</v>
      </c>
      <c r="AX10" s="304">
        <f t="shared" si="23"/>
        <v>460.48443777469129</v>
      </c>
      <c r="AY10" s="319">
        <f t="shared" si="24"/>
        <v>575.60554721836411</v>
      </c>
      <c r="BA10" s="28">
        <f t="shared" si="25"/>
        <v>1690.8494519030369</v>
      </c>
      <c r="BB10" s="232">
        <f t="shared" si="26"/>
        <v>-0.36169555857388697</v>
      </c>
      <c r="BC10" s="21" t="str">
        <f t="shared" si="27"/>
        <v>paying $612 less (too little)</v>
      </c>
      <c r="BF10" s="98">
        <f>IF(BB10&lt;$BF$4*-1,'Different homes'!BA10*(1+'Different homes'!$BF$4),'Different homes'!AW10*(1+'Different homes'!$BF$3))</f>
        <v>1995.2023532455835</v>
      </c>
      <c r="BI10" s="98">
        <f t="shared" si="28"/>
        <v>364.55813541929433</v>
      </c>
      <c r="BJ10" s="21">
        <f t="shared" si="29"/>
        <v>0</v>
      </c>
      <c r="BK10" s="98">
        <f t="shared" si="30"/>
        <v>975.30393340028252</v>
      </c>
      <c r="BL10" s="98">
        <f t="shared" si="31"/>
        <v>351.28406538264898</v>
      </c>
      <c r="BM10" s="29">
        <f t="shared" si="32"/>
        <v>61.536641095823143</v>
      </c>
      <c r="BN10" s="29">
        <f t="shared" si="33"/>
        <v>0</v>
      </c>
      <c r="BO10" s="304">
        <f t="shared" si="34"/>
        <v>1752.6827752980491</v>
      </c>
      <c r="BP10" s="304">
        <f t="shared" si="35"/>
        <v>242.51957794753434</v>
      </c>
      <c r="BQ10" s="304"/>
      <c r="BR10" s="304">
        <f t="shared" si="36"/>
        <v>1813.3126697849327</v>
      </c>
      <c r="BS10" s="304">
        <f t="shared" si="37"/>
        <v>2051.7483778710584</v>
      </c>
      <c r="BT10" s="304"/>
      <c r="BU10" s="84">
        <f t="shared" si="38"/>
        <v>326</v>
      </c>
      <c r="BV10" s="84">
        <f t="shared" si="39"/>
        <v>3551.8168849684062</v>
      </c>
      <c r="BW10" s="98">
        <f t="shared" si="40"/>
        <v>364.55813541929433</v>
      </c>
      <c r="BX10" s="98">
        <f t="shared" si="41"/>
        <v>975.30393340028252</v>
      </c>
      <c r="BY10" s="98">
        <f t="shared" si="42"/>
        <v>882.26645395160597</v>
      </c>
      <c r="BZ10" s="29">
        <f t="shared" si="43"/>
        <v>61.536641095823136</v>
      </c>
      <c r="CA10" s="29">
        <f t="shared" si="44"/>
        <v>0</v>
      </c>
      <c r="CB10" s="304">
        <f t="shared" si="45"/>
        <v>2283.665163867006</v>
      </c>
      <c r="CD10" s="98">
        <f t="shared" si="46"/>
        <v>364.55813541929433</v>
      </c>
      <c r="CE10" s="98">
        <f t="shared" si="47"/>
        <v>795.66729120540924</v>
      </c>
      <c r="CF10" s="98">
        <f t="shared" si="48"/>
        <v>20.939240501242924</v>
      </c>
      <c r="CG10" s="98">
        <f t="shared" si="49"/>
        <v>158.69740169363058</v>
      </c>
      <c r="CH10" s="98">
        <f t="shared" si="50"/>
        <v>302.67395056033268</v>
      </c>
      <c r="CI10" s="98">
        <f t="shared" si="51"/>
        <v>417.04360058811864</v>
      </c>
      <c r="CJ10" s="98">
        <f t="shared" si="52"/>
        <v>61.536641095823143</v>
      </c>
      <c r="CK10" s="98">
        <f t="shared" si="53"/>
        <v>0</v>
      </c>
      <c r="CM10" s="304">
        <f t="shared" si="63"/>
        <v>0</v>
      </c>
      <c r="CN10" s="304">
        <f t="shared" si="64"/>
        <v>0</v>
      </c>
      <c r="CO10" s="304">
        <f t="shared" si="65"/>
        <v>230.33274096379043</v>
      </c>
      <c r="CP10" s="304">
        <f t="shared" si="54"/>
        <v>2351.4490020276421</v>
      </c>
    </row>
    <row r="11" spans="1:94" s="21" customFormat="1" ht="22.5" customHeight="1">
      <c r="A11" s="20"/>
      <c r="C11" s="21" t="s">
        <v>676</v>
      </c>
      <c r="D11" s="30">
        <v>6000</v>
      </c>
      <c r="E11" s="22">
        <f t="shared" si="2"/>
        <v>16.438356164383563</v>
      </c>
      <c r="F11" s="32">
        <v>5</v>
      </c>
      <c r="G11" s="23">
        <f t="shared" si="55"/>
        <v>0.68493150684931514</v>
      </c>
      <c r="H11" s="24">
        <f t="shared" si="3"/>
        <v>0.13698630136986303</v>
      </c>
      <c r="I11" s="23">
        <f t="shared" si="4"/>
        <v>0.13698630136986303</v>
      </c>
      <c r="J11" s="24"/>
      <c r="K11" s="30">
        <v>0</v>
      </c>
      <c r="L11" s="30">
        <f>L6*1.2</f>
        <v>2520</v>
      </c>
      <c r="M11" s="22">
        <f t="shared" ref="M11:M13" si="66">L11+D11</f>
        <v>8520</v>
      </c>
      <c r="N11" s="29">
        <f>N7*1.2</f>
        <v>1250.5895233688109</v>
      </c>
      <c r="O11" s="29">
        <f>N11/$N$5*$O$5</f>
        <v>125.05895233688109</v>
      </c>
      <c r="Q11" s="26">
        <f>(D11-K11)/1000*'2. Check Reference Home'!B27/1000</f>
        <v>4.0474576271186438</v>
      </c>
      <c r="R11" s="26"/>
      <c r="S11" s="21" t="str">
        <f t="shared" si="5"/>
        <v>big solar home</v>
      </c>
      <c r="T11" s="27">
        <f t="shared" si="6"/>
        <v>5</v>
      </c>
      <c r="U11" s="28">
        <f t="shared" si="7"/>
        <v>47.5</v>
      </c>
      <c r="V11" s="28">
        <f t="shared" si="8"/>
        <v>360</v>
      </c>
      <c r="W11" s="28">
        <f t="shared" si="9"/>
        <v>1300</v>
      </c>
      <c r="X11" s="28">
        <f t="shared" si="10"/>
        <v>4292.5</v>
      </c>
      <c r="Y11" s="28">
        <f t="shared" si="11"/>
        <v>4167.4410476631192</v>
      </c>
      <c r="Z11" s="29">
        <f t="shared" si="12"/>
        <v>0</v>
      </c>
      <c r="AA11" s="29">
        <f t="shared" si="56"/>
        <v>125.05895233688109</v>
      </c>
      <c r="AC11" s="21" t="str">
        <f t="shared" si="13"/>
        <v>big solar home</v>
      </c>
      <c r="AD11" s="30">
        <v>1</v>
      </c>
      <c r="AE11" s="23">
        <f t="shared" si="57"/>
        <v>2.887343888883847</v>
      </c>
      <c r="AF11" s="23">
        <f t="shared" si="58"/>
        <v>1.1211380205554842</v>
      </c>
      <c r="AG11" s="23">
        <f t="shared" si="59"/>
        <v>1.5389151212540901</v>
      </c>
      <c r="AH11" s="31" t="str">
        <f t="shared" si="14"/>
        <v>big solar home</v>
      </c>
      <c r="AI11" s="23">
        <f t="shared" si="60"/>
        <v>0.89195084072212205</v>
      </c>
      <c r="AJ11" s="23">
        <f t="shared" si="61"/>
        <v>2.5753688091438289</v>
      </c>
      <c r="AK11" s="30">
        <v>1</v>
      </c>
      <c r="AL11" s="23">
        <f t="shared" si="62"/>
        <v>1.3726366362025724</v>
      </c>
      <c r="AN11" s="84" cm="1">
        <f t="array" ref="AN11">IF(OR('4. Calculator'!$B$5=1,'4. Calculator'!$B$5=4),0,_xlfn.SWITCH('4. Calculator'!$B$6,1,U11,2,U11+V11,3,U11+V11+W11))</f>
        <v>407.5</v>
      </c>
      <c r="AO11" s="28">
        <f t="shared" si="15"/>
        <v>5467.4410476631192</v>
      </c>
      <c r="AQ11" s="98">
        <f t="shared" si="16"/>
        <v>364.55813541929433</v>
      </c>
      <c r="AR11" s="21">
        <f t="shared" si="17"/>
        <v>0</v>
      </c>
      <c r="AS11" s="98">
        <f t="shared" si="18"/>
        <v>1259.4327423969246</v>
      </c>
      <c r="AT11" s="98">
        <f t="shared" si="19"/>
        <v>1337.3465606418104</v>
      </c>
      <c r="AU11" s="29">
        <f t="shared" si="20"/>
        <v>0</v>
      </c>
      <c r="AV11" s="29">
        <f t="shared" si="21"/>
        <v>6.8578004451240044</v>
      </c>
      <c r="AW11" s="304">
        <f t="shared" si="22"/>
        <v>2968.1952389031535</v>
      </c>
      <c r="AX11" s="304">
        <f t="shared" si="23"/>
        <v>494.69920648385892</v>
      </c>
      <c r="AY11" s="319">
        <f t="shared" si="24"/>
        <v>593.63904778063068</v>
      </c>
      <c r="BA11" s="28">
        <f t="shared" si="25"/>
        <v>1956.1077151997852</v>
      </c>
      <c r="BB11" s="232">
        <f t="shared" si="26"/>
        <v>-0.51739866666800594</v>
      </c>
      <c r="BC11" s="21" t="str">
        <f t="shared" si="27"/>
        <v>paying $1012 less (too little)</v>
      </c>
      <c r="BF11" s="98">
        <f>IF(BB11&lt;$BF$4*-1,'Different homes'!BA11*(1+'Different homes'!$BF$4),'Different homes'!AW11*(1+'Different homes'!$BF$3))</f>
        <v>2308.2071039357465</v>
      </c>
      <c r="BI11" s="98">
        <f t="shared" si="28"/>
        <v>364.55813541929433</v>
      </c>
      <c r="BJ11" s="21">
        <f t="shared" si="29"/>
        <v>0</v>
      </c>
      <c r="BK11" s="98">
        <f t="shared" si="30"/>
        <v>1219.1299167503532</v>
      </c>
      <c r="BL11" s="98">
        <f t="shared" si="31"/>
        <v>540.74435159968959</v>
      </c>
      <c r="BM11" s="29">
        <f t="shared" si="32"/>
        <v>0</v>
      </c>
      <c r="BN11" s="29">
        <f t="shared" si="33"/>
        <v>6.8578004451240044</v>
      </c>
      <c r="BO11" s="304">
        <f t="shared" si="34"/>
        <v>2131.2902042144615</v>
      </c>
      <c r="BP11" s="304">
        <f t="shared" si="35"/>
        <v>176.91689972128506</v>
      </c>
      <c r="BQ11" s="304"/>
      <c r="BR11" s="304">
        <f t="shared" si="36"/>
        <v>2175.5194291447829</v>
      </c>
      <c r="BS11" s="304">
        <f t="shared" si="37"/>
        <v>2364.7531285612217</v>
      </c>
      <c r="BT11" s="304"/>
      <c r="BU11" s="84">
        <f t="shared" si="38"/>
        <v>407.5</v>
      </c>
      <c r="BV11" s="84">
        <f t="shared" si="39"/>
        <v>5467.4410476631192</v>
      </c>
      <c r="BW11" s="98">
        <f t="shared" si="40"/>
        <v>364.55813541929433</v>
      </c>
      <c r="BX11" s="98">
        <f t="shared" si="41"/>
        <v>1219.1299167503532</v>
      </c>
      <c r="BY11" s="98">
        <f t="shared" si="42"/>
        <v>1358.104874641954</v>
      </c>
      <c r="BZ11" s="29">
        <f t="shared" si="43"/>
        <v>0</v>
      </c>
      <c r="CA11" s="29">
        <f t="shared" si="44"/>
        <v>6.8578004451240044</v>
      </c>
      <c r="CB11" s="304">
        <f t="shared" si="45"/>
        <v>2948.6507272567255</v>
      </c>
      <c r="CD11" s="98">
        <f t="shared" si="46"/>
        <v>364.55813541929433</v>
      </c>
      <c r="CE11" s="98">
        <f t="shared" si="47"/>
        <v>994.58411400676152</v>
      </c>
      <c r="CF11" s="98">
        <f t="shared" si="48"/>
        <v>26.174050626553658</v>
      </c>
      <c r="CG11" s="98">
        <f t="shared" si="49"/>
        <v>198.37175211703823</v>
      </c>
      <c r="CH11" s="98">
        <f t="shared" si="50"/>
        <v>378.34243820041581</v>
      </c>
      <c r="CI11" s="98">
        <f t="shared" si="51"/>
        <v>691.93125906469459</v>
      </c>
      <c r="CJ11" s="98">
        <f t="shared" si="52"/>
        <v>0</v>
      </c>
      <c r="CK11" s="98">
        <f t="shared" si="53"/>
        <v>6.8578004451240053</v>
      </c>
      <c r="CM11" s="304">
        <f t="shared" si="63"/>
        <v>0</v>
      </c>
      <c r="CN11" s="304">
        <f t="shared" si="64"/>
        <v>0</v>
      </c>
      <c r="CO11" s="304">
        <f t="shared" si="65"/>
        <v>276.39928915654849</v>
      </c>
      <c r="CP11" s="304">
        <f t="shared" si="54"/>
        <v>2937.2188390364313</v>
      </c>
    </row>
    <row r="12" spans="1:94" s="21" customFormat="1" ht="22.5" customHeight="1">
      <c r="A12" s="20"/>
      <c r="C12" s="21" t="s">
        <v>677</v>
      </c>
      <c r="D12" s="30">
        <v>12000</v>
      </c>
      <c r="E12" s="22">
        <f t="shared" si="2"/>
        <v>32.876712328767127</v>
      </c>
      <c r="F12" s="32">
        <v>5</v>
      </c>
      <c r="G12" s="23">
        <f t="shared" si="55"/>
        <v>1.3698630136986303</v>
      </c>
      <c r="H12" s="24">
        <f t="shared" si="3"/>
        <v>0.27397260273972607</v>
      </c>
      <c r="I12" s="23">
        <f t="shared" si="4"/>
        <v>0.27397260273972607</v>
      </c>
      <c r="J12" s="24"/>
      <c r="K12" s="22">
        <f>K9*1.2</f>
        <v>2244.3662300631872</v>
      </c>
      <c r="L12" s="22">
        <f>L9*1.2</f>
        <v>833.07010715060653</v>
      </c>
      <c r="M12" s="22">
        <f t="shared" si="66"/>
        <v>12833.070107150606</v>
      </c>
      <c r="N12" s="21">
        <f>N9*1.2</f>
        <v>2160</v>
      </c>
      <c r="O12" s="29">
        <f t="shared" ref="O12:O14" si="67">N12/$N$5*$O$5</f>
        <v>216</v>
      </c>
      <c r="Q12" s="26">
        <f>(D12-K12)/1000*'2. Check Reference Home'!B27/1000</f>
        <v>6.5809190515844938</v>
      </c>
      <c r="R12" s="26"/>
      <c r="S12" s="21" t="str">
        <f t="shared" si="5"/>
        <v>big electric home</v>
      </c>
      <c r="T12" s="27">
        <f t="shared" si="6"/>
        <v>5</v>
      </c>
      <c r="U12" s="28">
        <f t="shared" si="7"/>
        <v>47.5</v>
      </c>
      <c r="V12" s="28">
        <f t="shared" si="8"/>
        <v>360</v>
      </c>
      <c r="W12" s="28">
        <f t="shared" si="9"/>
        <v>1300</v>
      </c>
      <c r="X12" s="28">
        <f t="shared" si="10"/>
        <v>10292.5</v>
      </c>
      <c r="Y12" s="28">
        <f t="shared" si="11"/>
        <v>7832.1337699368123</v>
      </c>
      <c r="Z12" s="29">
        <f t="shared" si="12"/>
        <v>2244.3662300631872</v>
      </c>
      <c r="AA12" s="29">
        <f t="shared" si="56"/>
        <v>216</v>
      </c>
      <c r="AC12" s="21" t="str">
        <f t="shared" si="13"/>
        <v>big electric home</v>
      </c>
      <c r="AD12" s="30">
        <v>1</v>
      </c>
      <c r="AE12" s="23">
        <f t="shared" si="57"/>
        <v>2.887343888883847</v>
      </c>
      <c r="AF12" s="23">
        <f t="shared" si="58"/>
        <v>2.2422760411109683</v>
      </c>
      <c r="AG12" s="23">
        <f t="shared" si="59"/>
        <v>2.498865357231367</v>
      </c>
      <c r="AH12" s="31" t="str">
        <f t="shared" si="14"/>
        <v>big electric home</v>
      </c>
      <c r="AI12" s="23">
        <f t="shared" si="60"/>
        <v>0.44597542036106103</v>
      </c>
      <c r="AJ12" s="23">
        <f t="shared" si="61"/>
        <v>1.2876844045719145</v>
      </c>
      <c r="AK12" s="30">
        <v>1</v>
      </c>
      <c r="AL12" s="23">
        <f t="shared" si="62"/>
        <v>1.114432528116952</v>
      </c>
      <c r="AN12" s="84" cm="1">
        <f t="array" ref="AN12">IF(OR('4. Calculator'!$B$5=1,'4. Calculator'!$B$5=4),0,_xlfn.SWITCH('4. Calculator'!$B$6,1,U12,2,U12+V12,3,U12+V12+W12))</f>
        <v>407.5</v>
      </c>
      <c r="AO12" s="28">
        <f t="shared" si="15"/>
        <v>9132.1337699368123</v>
      </c>
      <c r="AQ12" s="98">
        <f t="shared" si="16"/>
        <v>364.55813541929433</v>
      </c>
      <c r="AR12" s="21">
        <f t="shared" si="17"/>
        <v>0</v>
      </c>
      <c r="AS12" s="98">
        <f t="shared" si="18"/>
        <v>1259.4327423969246</v>
      </c>
      <c r="AT12" s="98">
        <f t="shared" si="19"/>
        <v>2233.7374252559894</v>
      </c>
      <c r="AU12" s="29">
        <f t="shared" si="20"/>
        <v>123.07328219164629</v>
      </c>
      <c r="AV12" s="29">
        <f t="shared" si="21"/>
        <v>11.844692990522837</v>
      </c>
      <c r="AW12" s="304">
        <f t="shared" si="22"/>
        <v>3992.6462782543772</v>
      </c>
      <c r="AX12" s="304">
        <f t="shared" si="23"/>
        <v>332.72052318786479</v>
      </c>
      <c r="AY12" s="319">
        <f t="shared" si="24"/>
        <v>798.52925565087548</v>
      </c>
      <c r="BA12" s="28">
        <f t="shared" si="25"/>
        <v>3547.6572949802758</v>
      </c>
      <c r="BB12" s="232">
        <f t="shared" si="26"/>
        <v>-0.12543178392787105</v>
      </c>
      <c r="BC12" s="21" t="str">
        <f t="shared" si="27"/>
        <v>paying $445 less (too little)</v>
      </c>
      <c r="BF12" s="98">
        <f>IF(BB12&lt;$BF$4*-1,'Different homes'!BA12*(1+'Different homes'!$BF$4),'Different homes'!AW12*(1+'Different homes'!$BF$3))</f>
        <v>4232.2050549496398</v>
      </c>
      <c r="BI12" s="98">
        <f t="shared" si="28"/>
        <v>364.55813541929433</v>
      </c>
      <c r="BJ12" s="21">
        <f t="shared" si="29"/>
        <v>0</v>
      </c>
      <c r="BK12" s="98">
        <f t="shared" si="30"/>
        <v>1219.1299167503532</v>
      </c>
      <c r="BL12" s="98">
        <f t="shared" si="31"/>
        <v>903.1921352415427</v>
      </c>
      <c r="BM12" s="29">
        <f t="shared" si="32"/>
        <v>123.07328219164629</v>
      </c>
      <c r="BN12" s="29">
        <f t="shared" si="33"/>
        <v>11.844692990522837</v>
      </c>
      <c r="BO12" s="304">
        <f t="shared" si="34"/>
        <v>2621.7981625933594</v>
      </c>
      <c r="BP12" s="304">
        <f t="shared" si="35"/>
        <v>1610.4068923562804</v>
      </c>
      <c r="BQ12" s="304"/>
      <c r="BR12" s="304">
        <f t="shared" si="36"/>
        <v>3024.3998856824296</v>
      </c>
      <c r="BS12" s="304">
        <f t="shared" si="37"/>
        <v>4288.751079575115</v>
      </c>
      <c r="BT12" s="304"/>
      <c r="BU12" s="84">
        <f t="shared" si="38"/>
        <v>407.5</v>
      </c>
      <c r="BV12" s="84">
        <f t="shared" si="39"/>
        <v>9132.1337699368123</v>
      </c>
      <c r="BW12" s="98">
        <f t="shared" si="40"/>
        <v>364.55813541929433</v>
      </c>
      <c r="BX12" s="98">
        <f t="shared" si="41"/>
        <v>1219.1299167503532</v>
      </c>
      <c r="BY12" s="98">
        <f t="shared" si="42"/>
        <v>2268.4095321219047</v>
      </c>
      <c r="BZ12" s="29">
        <f t="shared" si="43"/>
        <v>123.07328219164627</v>
      </c>
      <c r="CA12" s="29">
        <f t="shared" si="44"/>
        <v>11.844692990522837</v>
      </c>
      <c r="CB12" s="304">
        <f t="shared" si="45"/>
        <v>3987.0155594737212</v>
      </c>
      <c r="CD12" s="98">
        <f t="shared" si="46"/>
        <v>364.55813541929433</v>
      </c>
      <c r="CE12" s="98">
        <f t="shared" si="47"/>
        <v>994.58411400676152</v>
      </c>
      <c r="CF12" s="98">
        <f t="shared" si="48"/>
        <v>26.174050626553658</v>
      </c>
      <c r="CG12" s="98">
        <f t="shared" si="49"/>
        <v>198.37175211703823</v>
      </c>
      <c r="CH12" s="98">
        <f t="shared" si="50"/>
        <v>378.34243820041581</v>
      </c>
      <c r="CI12" s="98">
        <f t="shared" si="51"/>
        <v>1300.3898840115203</v>
      </c>
      <c r="CJ12" s="98">
        <f t="shared" si="52"/>
        <v>123.07328219164629</v>
      </c>
      <c r="CK12" s="98">
        <f t="shared" si="53"/>
        <v>11.844692990522837</v>
      </c>
      <c r="CM12" s="304">
        <f t="shared" si="63"/>
        <v>0</v>
      </c>
      <c r="CN12" s="304">
        <f t="shared" si="64"/>
        <v>0</v>
      </c>
      <c r="CO12" s="304">
        <f t="shared" si="65"/>
        <v>552.79857831309698</v>
      </c>
      <c r="CP12" s="304">
        <f t="shared" si="54"/>
        <v>3950.1369278768502</v>
      </c>
    </row>
    <row r="13" spans="1:94" s="21" customFormat="1" ht="35.450000000000003" customHeight="1">
      <c r="A13" s="20"/>
      <c r="C13" s="33" t="s">
        <v>678</v>
      </c>
      <c r="D13" s="30">
        <v>14000</v>
      </c>
      <c r="E13" s="22">
        <f t="shared" si="2"/>
        <v>38.356164383561641</v>
      </c>
      <c r="F13" s="32">
        <v>3</v>
      </c>
      <c r="G13" s="23">
        <f t="shared" si="55"/>
        <v>1.598173515981735</v>
      </c>
      <c r="H13" s="24">
        <f t="shared" si="3"/>
        <v>0.53272450532724502</v>
      </c>
      <c r="I13" s="23">
        <f t="shared" si="4"/>
        <v>0.53272450532724502</v>
      </c>
      <c r="J13" s="24"/>
      <c r="K13" s="30">
        <v>0</v>
      </c>
      <c r="L13" s="22">
        <f>L6*1.2</f>
        <v>2520</v>
      </c>
      <c r="M13" s="22">
        <f t="shared" si="66"/>
        <v>16520</v>
      </c>
      <c r="N13" s="21">
        <f>N12</f>
        <v>2160</v>
      </c>
      <c r="O13" s="29">
        <f t="shared" si="67"/>
        <v>216</v>
      </c>
      <c r="Q13" s="26">
        <f>(D13-K13)/1000*'2. Check Reference Home'!B27/1000</f>
        <v>9.4440677966101685</v>
      </c>
      <c r="R13" s="26"/>
      <c r="S13" s="21" t="str">
        <f t="shared" si="5"/>
        <v>Efficient Electrify Everything home (based on big home, EV, with solar, no battery)</v>
      </c>
      <c r="T13" s="27">
        <f t="shared" si="6"/>
        <v>3</v>
      </c>
      <c r="U13" s="28">
        <f t="shared" si="7"/>
        <v>28.499999999999996</v>
      </c>
      <c r="V13" s="28">
        <f t="shared" si="8"/>
        <v>216.00000000000003</v>
      </c>
      <c r="W13" s="28">
        <f t="shared" si="9"/>
        <v>780.00000000000011</v>
      </c>
      <c r="X13" s="28">
        <f t="shared" si="10"/>
        <v>12975.5</v>
      </c>
      <c r="Y13" s="28">
        <f t="shared" si="11"/>
        <v>12759.5</v>
      </c>
      <c r="Z13" s="29">
        <f t="shared" si="12"/>
        <v>0</v>
      </c>
      <c r="AA13" s="29">
        <f>O13</f>
        <v>216</v>
      </c>
      <c r="AC13" s="21" t="str">
        <f t="shared" si="13"/>
        <v>Efficient Electrify Everything home (based on big home, EV, with solar, no battery)</v>
      </c>
      <c r="AD13" s="30">
        <v>1</v>
      </c>
      <c r="AE13" s="23">
        <f t="shared" si="57"/>
        <v>1.7324063333303081</v>
      </c>
      <c r="AF13" s="23">
        <f t="shared" si="58"/>
        <v>2.6159887146294634</v>
      </c>
      <c r="AG13" s="23">
        <f t="shared" si="59"/>
        <v>3.6106585341488757</v>
      </c>
      <c r="AH13" s="31" t="str">
        <f t="shared" si="14"/>
        <v>Efficient Electrify Everything home (based on big home, EV, with solar, no battery)</v>
      </c>
      <c r="AI13" s="23">
        <f t="shared" si="60"/>
        <v>0.38226464602376659</v>
      </c>
      <c r="AJ13" s="23">
        <f t="shared" si="61"/>
        <v>0.66223769377984165</v>
      </c>
      <c r="AK13" s="30">
        <v>1</v>
      </c>
      <c r="AL13" s="23">
        <f t="shared" si="62"/>
        <v>1.3802271064691121</v>
      </c>
      <c r="AN13" s="84" cm="1">
        <f t="array" ref="AN13">IF(OR('4. Calculator'!$B$5=1,'4. Calculator'!$B$5=4),0,_xlfn.SWITCH('4. Calculator'!$B$6,1,U13,2,U13+V13,3,U13+V13+W13))</f>
        <v>244.50000000000003</v>
      </c>
      <c r="AO13" s="28">
        <f t="shared" si="15"/>
        <v>13539.5</v>
      </c>
      <c r="AQ13" s="98">
        <f t="shared" si="16"/>
        <v>364.55813541929433</v>
      </c>
      <c r="AR13" s="21">
        <f t="shared" si="17"/>
        <v>0</v>
      </c>
      <c r="AS13" s="98">
        <f t="shared" si="18"/>
        <v>755.65964543815483</v>
      </c>
      <c r="AT13" s="98">
        <f t="shared" si="19"/>
        <v>3311.7876534853622</v>
      </c>
      <c r="AU13" s="29">
        <f t="shared" si="20"/>
        <v>0</v>
      </c>
      <c r="AV13" s="29">
        <f t="shared" si="21"/>
        <v>11.844692990522837</v>
      </c>
      <c r="AW13" s="304">
        <f t="shared" si="22"/>
        <v>4443.8501273333341</v>
      </c>
      <c r="AX13" s="304">
        <f t="shared" si="23"/>
        <v>317.41786623809531</v>
      </c>
      <c r="AY13" s="319">
        <f t="shared" si="24"/>
        <v>1481.283375777778</v>
      </c>
      <c r="BA13" s="28">
        <f>$BA$3*D13/100+AQ13</f>
        <v>4078.1738215737732</v>
      </c>
      <c r="BB13" s="232">
        <f t="shared" si="26"/>
        <v>-8.966667968518463E-2</v>
      </c>
      <c r="BC13" s="21" t="str">
        <f t="shared" si="27"/>
        <v>paying $366 less (too little)</v>
      </c>
      <c r="BF13" s="98">
        <f>IF(BB13&lt;$BF$4*-1,'Different homes'!BA13*(1+'Different homes'!$BF$4),'Different homes'!AW13*(1+'Different homes'!$BF$3))</f>
        <v>4710.4811349733345</v>
      </c>
      <c r="BI13" s="98">
        <f t="shared" si="28"/>
        <v>364.55813541929433</v>
      </c>
      <c r="BJ13" s="21">
        <f t="shared" si="29"/>
        <v>0</v>
      </c>
      <c r="BK13" s="98">
        <f t="shared" si="30"/>
        <v>731.47795005021192</v>
      </c>
      <c r="BL13" s="98">
        <f t="shared" si="31"/>
        <v>1339.0922891822117</v>
      </c>
      <c r="BM13" s="29">
        <f t="shared" si="32"/>
        <v>0</v>
      </c>
      <c r="BN13" s="29">
        <f t="shared" si="33"/>
        <v>11.844692990522837</v>
      </c>
      <c r="BO13" s="304">
        <f t="shared" si="34"/>
        <v>2446.9730676422409</v>
      </c>
      <c r="BP13" s="304">
        <f t="shared" si="35"/>
        <v>2263.5080673310936</v>
      </c>
      <c r="BQ13" s="304"/>
      <c r="BR13" s="304">
        <f t="shared" si="36"/>
        <v>3012.8500844750142</v>
      </c>
      <c r="BS13" s="304">
        <f t="shared" si="37"/>
        <v>4767.0271595988097</v>
      </c>
      <c r="BT13" s="304"/>
      <c r="BU13" s="84">
        <f t="shared" si="38"/>
        <v>244.50000000000003</v>
      </c>
      <c r="BV13" s="84">
        <f t="shared" si="39"/>
        <v>13539.5</v>
      </c>
      <c r="BW13" s="98">
        <f t="shared" si="40"/>
        <v>364.55813541929433</v>
      </c>
      <c r="BX13" s="98">
        <f t="shared" si="41"/>
        <v>731.47795005021192</v>
      </c>
      <c r="BY13" s="98">
        <f t="shared" si="42"/>
        <v>3363.1932726689611</v>
      </c>
      <c r="BZ13" s="29">
        <f t="shared" si="43"/>
        <v>0</v>
      </c>
      <c r="CA13" s="29">
        <f t="shared" si="44"/>
        <v>11.844692990522837</v>
      </c>
      <c r="CB13" s="304">
        <f t="shared" si="45"/>
        <v>4471.0740511289905</v>
      </c>
      <c r="CD13" s="98">
        <f t="shared" si="46"/>
        <v>364.55813541929433</v>
      </c>
      <c r="CE13" s="98">
        <f t="shared" si="47"/>
        <v>596.75046840405696</v>
      </c>
      <c r="CF13" s="98">
        <f t="shared" si="48"/>
        <v>15.704430375932192</v>
      </c>
      <c r="CG13" s="98">
        <f t="shared" si="49"/>
        <v>119.02305127022296</v>
      </c>
      <c r="CH13" s="98">
        <f t="shared" si="50"/>
        <v>227.00546292024953</v>
      </c>
      <c r="CI13" s="98">
        <f t="shared" si="51"/>
        <v>2118.4935309370812</v>
      </c>
      <c r="CJ13" s="98">
        <f t="shared" si="52"/>
        <v>0</v>
      </c>
      <c r="CK13" s="98">
        <f t="shared" si="53"/>
        <v>11.844692990522837</v>
      </c>
      <c r="CM13" s="304">
        <f t="shared" si="63"/>
        <v>0</v>
      </c>
      <c r="CN13" s="304">
        <f t="shared" si="64"/>
        <v>0</v>
      </c>
      <c r="CO13" s="304">
        <f t="shared" si="65"/>
        <v>644.93167469861316</v>
      </c>
      <c r="CP13" s="304">
        <f t="shared" si="54"/>
        <v>4098.3114470159726</v>
      </c>
    </row>
    <row r="14" spans="1:94" ht="28.5" customHeight="1">
      <c r="C14" s="33" t="s">
        <v>679</v>
      </c>
      <c r="D14" s="22">
        <v>8000</v>
      </c>
      <c r="E14" s="22">
        <f t="shared" si="2"/>
        <v>21.917808219178081</v>
      </c>
      <c r="F14" s="32">
        <v>0.5</v>
      </c>
      <c r="G14" s="23">
        <f t="shared" si="55"/>
        <v>0.91324200913242004</v>
      </c>
      <c r="H14" s="379">
        <f>J14</f>
        <v>1.8264840182648401</v>
      </c>
      <c r="I14" s="23"/>
      <c r="J14" s="23">
        <f>G14/F14</f>
        <v>1.8264840182648401</v>
      </c>
      <c r="K14" s="16">
        <v>0</v>
      </c>
      <c r="L14" s="34">
        <f>M14-D14</f>
        <v>8520</v>
      </c>
      <c r="M14" s="34">
        <f>M13</f>
        <v>16520</v>
      </c>
      <c r="N14" s="15">
        <v>8000</v>
      </c>
      <c r="O14" s="29">
        <f t="shared" si="67"/>
        <v>800</v>
      </c>
      <c r="Q14" s="26">
        <f>(D14-K14)/1000*'2. Check Reference Home'!B27/1000</f>
        <v>5.3966101694915247</v>
      </c>
      <c r="R14" s="26"/>
      <c r="S14" s="21" t="str">
        <f t="shared" si="5"/>
        <v>Efficient Electrify Everything home with battery and load flex (reduced grid impact)</v>
      </c>
      <c r="T14" s="27">
        <f t="shared" si="6"/>
        <v>0.5</v>
      </c>
      <c r="U14" s="28">
        <f t="shared" si="7"/>
        <v>4.75</v>
      </c>
      <c r="V14" s="28">
        <f t="shared" si="8"/>
        <v>36</v>
      </c>
      <c r="W14" s="28">
        <f t="shared" si="9"/>
        <v>130</v>
      </c>
      <c r="X14" s="28">
        <f t="shared" si="10"/>
        <v>7829.25</v>
      </c>
      <c r="Y14" s="28">
        <f t="shared" si="11"/>
        <v>7029.25</v>
      </c>
      <c r="Z14" s="29">
        <f t="shared" si="12"/>
        <v>0</v>
      </c>
      <c r="AA14" s="29">
        <f t="shared" si="56"/>
        <v>800</v>
      </c>
      <c r="AC14" s="21" t="str">
        <f t="shared" si="13"/>
        <v>Efficient Electrify Everything home with battery and load flex (reduced grid impact)</v>
      </c>
      <c r="AD14" s="30">
        <v>1</v>
      </c>
      <c r="AE14" s="23">
        <f t="shared" si="57"/>
        <v>0.28873438888838471</v>
      </c>
      <c r="AF14" s="23">
        <f t="shared" si="58"/>
        <v>1.494850694073979</v>
      </c>
      <c r="AG14" s="23">
        <f t="shared" si="59"/>
        <v>1.8860085204492096</v>
      </c>
      <c r="AH14" s="31" t="str">
        <f t="shared" si="14"/>
        <v>Efficient Electrify Everything home with battery and load flex (reduced grid impact)</v>
      </c>
      <c r="AI14" s="23">
        <f t="shared" si="60"/>
        <v>0.66896313054159162</v>
      </c>
      <c r="AJ14" s="23">
        <f t="shared" si="61"/>
        <v>0.19315266068578718</v>
      </c>
      <c r="AK14" s="30">
        <v>1</v>
      </c>
      <c r="AL14" s="23">
        <f t="shared" si="62"/>
        <v>1.2616701640678187</v>
      </c>
      <c r="AN14" s="84" cm="1">
        <f t="array" ref="AN14">IF(OR('4. Calculator'!$B$5=1,'4. Calculator'!$B$5=4),0,_xlfn.SWITCH('4. Calculator'!$B$6,1,U14,2,U14+V14,3,U14+V14+W14))</f>
        <v>40.75</v>
      </c>
      <c r="AO14" s="28">
        <f t="shared" si="15"/>
        <v>7159.25</v>
      </c>
      <c r="AQ14" s="98">
        <f t="shared" si="16"/>
        <v>364.55813541929433</v>
      </c>
      <c r="AR14" s="21">
        <f t="shared" si="17"/>
        <v>0</v>
      </c>
      <c r="AS14" s="98">
        <f t="shared" si="18"/>
        <v>125.94327423969246</v>
      </c>
      <c r="AT14" s="98">
        <f t="shared" si="19"/>
        <v>1751.1662733642363</v>
      </c>
      <c r="AU14" s="29">
        <f t="shared" si="20"/>
        <v>0</v>
      </c>
      <c r="AV14" s="29">
        <f t="shared" si="21"/>
        <v>43.869233298232729</v>
      </c>
      <c r="AW14" s="304">
        <f t="shared" si="22"/>
        <v>2285.5369163214559</v>
      </c>
      <c r="AX14" s="304">
        <f t="shared" si="23"/>
        <v>285.69211454018199</v>
      </c>
      <c r="AY14" s="319">
        <f t="shared" si="24"/>
        <v>4571.0738326429118</v>
      </c>
      <c r="BA14" s="28">
        <f t="shared" si="25"/>
        <v>2486.6242417932826</v>
      </c>
      <c r="BB14" s="232">
        <f t="shared" si="26"/>
        <v>8.0867596354971691E-2</v>
      </c>
      <c r="BC14" s="21" t="str">
        <f t="shared" si="27"/>
        <v>paying $201 more (too much)</v>
      </c>
      <c r="BF14" s="98">
        <f>IF(BB14&lt;$BF$4*-1,'Different homes'!BA14*(1+'Different homes'!$BF$4),'Different homes'!AW14*(1+'Different homes'!$BF$3))</f>
        <v>2422.6691313007432</v>
      </c>
      <c r="BI14" s="98">
        <f t="shared" si="28"/>
        <v>364.55813541929433</v>
      </c>
      <c r="BJ14" s="21">
        <f t="shared" si="29"/>
        <v>0</v>
      </c>
      <c r="BK14" s="98">
        <f t="shared" si="30"/>
        <v>121.91299167503531</v>
      </c>
      <c r="BL14" s="98">
        <f t="shared" si="31"/>
        <v>708.06872272445446</v>
      </c>
      <c r="BM14" s="29">
        <f t="shared" si="32"/>
        <v>0</v>
      </c>
      <c r="BN14" s="29">
        <f t="shared" si="33"/>
        <v>43.869233298232729</v>
      </c>
      <c r="BO14" s="304">
        <f t="shared" si="34"/>
        <v>1238.409083117017</v>
      </c>
      <c r="BP14" s="304">
        <f t="shared" si="35"/>
        <v>1184.2600481837262</v>
      </c>
      <c r="BQ14" s="304"/>
      <c r="BR14" s="304">
        <f t="shared" si="36"/>
        <v>1534.4740951629485</v>
      </c>
      <c r="BS14" s="304">
        <f t="shared" si="37"/>
        <v>2479.2151559262184</v>
      </c>
      <c r="BT14" s="304"/>
      <c r="BU14" s="84">
        <f t="shared" si="38"/>
        <v>40.75</v>
      </c>
      <c r="BV14" s="84">
        <f t="shared" si="39"/>
        <v>7159.25</v>
      </c>
      <c r="BW14" s="98">
        <f t="shared" si="40"/>
        <v>364.55813541929433</v>
      </c>
      <c r="BX14" s="98">
        <f t="shared" si="41"/>
        <v>121.91299167503531</v>
      </c>
      <c r="BY14" s="98">
        <f t="shared" si="42"/>
        <v>1778.3479033461545</v>
      </c>
      <c r="BZ14" s="29">
        <f t="shared" si="43"/>
        <v>0</v>
      </c>
      <c r="CA14" s="29">
        <f t="shared" si="44"/>
        <v>43.869233298232729</v>
      </c>
      <c r="CB14" s="304">
        <f t="shared" si="45"/>
        <v>2308.6882637387171</v>
      </c>
      <c r="CD14" s="98">
        <f t="shared" si="46"/>
        <v>364.55813541929433</v>
      </c>
      <c r="CE14" s="98">
        <f t="shared" si="47"/>
        <v>99.458411400676155</v>
      </c>
      <c r="CF14" s="98">
        <f t="shared" si="48"/>
        <v>2.6174050626553655</v>
      </c>
      <c r="CG14" s="98">
        <f t="shared" si="49"/>
        <v>19.837175211703823</v>
      </c>
      <c r="CH14" s="98">
        <f t="shared" si="50"/>
        <v>37.834243820041586</v>
      </c>
      <c r="CI14" s="98">
        <f t="shared" si="51"/>
        <v>1167.0849682463638</v>
      </c>
      <c r="CJ14" s="98">
        <f t="shared" si="52"/>
        <v>0</v>
      </c>
      <c r="CK14" s="98">
        <f t="shared" si="53"/>
        <v>43.869233298232729</v>
      </c>
      <c r="CM14" s="304">
        <f t="shared" si="63"/>
        <v>0</v>
      </c>
      <c r="CN14" s="304">
        <f t="shared" si="64"/>
        <v>0</v>
      </c>
      <c r="CO14" s="304">
        <f t="shared" si="65"/>
        <v>368.53238554206467</v>
      </c>
      <c r="CP14" s="304">
        <f t="shared" si="54"/>
        <v>2103.7919580010325</v>
      </c>
    </row>
    <row r="15" spans="1:94" ht="22.5" customHeight="1">
      <c r="C15" s="21" t="s">
        <v>680</v>
      </c>
      <c r="D15" s="22">
        <f>'2. Check Reference Home'!E5</f>
        <v>5351.7050443327325</v>
      </c>
      <c r="E15" s="22">
        <f t="shared" si="2"/>
        <v>14.662205600911596</v>
      </c>
      <c r="F15" s="131">
        <f>'2. Check Reference Home'!E7</f>
        <v>1.7316953547687168</v>
      </c>
      <c r="G15" s="23">
        <f t="shared" si="55"/>
        <v>0.61092523337131655</v>
      </c>
      <c r="H15" s="24">
        <f t="shared" si="3"/>
        <v>0.35279024782792179</v>
      </c>
      <c r="I15" s="23">
        <f t="shared" si="4"/>
        <v>0.35279024782792179</v>
      </c>
      <c r="J15" s="24"/>
      <c r="K15" s="22">
        <f>'2. Check Reference Home'!E10</f>
        <v>1429.9031041379997</v>
      </c>
      <c r="L15" s="22">
        <f>'2. Check Reference Home'!E11</f>
        <v>694.22508929217213</v>
      </c>
      <c r="M15" s="22">
        <f>L15+D15</f>
        <v>6045.9301336249046</v>
      </c>
      <c r="N15" s="29">
        <f>'2. Check Reference Home'!E13</f>
        <v>1042.1579361406757</v>
      </c>
      <c r="O15" s="29">
        <f>'2. Check Reference Home'!E22</f>
        <v>104.21579361406758</v>
      </c>
      <c r="P15" s="25">
        <v>1</v>
      </c>
      <c r="Q15" s="26">
        <f>(D15-K15)/1000*'2. Check Reference Home'!E27/1000</f>
        <v>2.6455545291483111</v>
      </c>
      <c r="R15" s="21"/>
      <c r="S15" s="21" t="str">
        <f t="shared" si="5"/>
        <v>My original reference household (your tariffs)</v>
      </c>
      <c r="T15" s="27">
        <f t="shared" ref="T15" si="68">F15</f>
        <v>1.7316953547687168</v>
      </c>
      <c r="U15" s="28">
        <f t="shared" si="7"/>
        <v>16.451105870302808</v>
      </c>
      <c r="V15" s="28">
        <f t="shared" si="8"/>
        <v>124.68206554334762</v>
      </c>
      <c r="W15" s="28">
        <f t="shared" si="9"/>
        <v>450.24079223986638</v>
      </c>
      <c r="X15" s="28">
        <f t="shared" ref="X15" si="69">D15-U15-V15-W15</f>
        <v>4760.331080679216</v>
      </c>
      <c r="Y15" s="28">
        <f t="shared" ref="Y15" si="70">X15-Z15-AA15</f>
        <v>3226.2121829271491</v>
      </c>
      <c r="Z15" s="29">
        <f t="shared" ref="Z15" si="71">K15</f>
        <v>1429.9031041379997</v>
      </c>
      <c r="AA15" s="29">
        <f t="shared" si="56"/>
        <v>104.21579361406758</v>
      </c>
      <c r="AB15" s="21"/>
      <c r="AC15" s="21"/>
      <c r="AD15" s="21"/>
      <c r="AE15" s="21"/>
      <c r="AF15" s="21"/>
      <c r="AG15" s="21"/>
      <c r="AH15" s="21"/>
      <c r="AI15" s="21"/>
      <c r="AJ15" s="21"/>
      <c r="AK15" s="21"/>
      <c r="AL15" s="21"/>
      <c r="AM15" s="21"/>
      <c r="AN15" s="84" cm="1">
        <f t="array" ref="AN15">IF(OR('4. Calculator'!$B$5=1,'4. Calculator'!$B$5=4),0,_xlfn.SWITCH('4. Calculator'!$B$6,1,U15,2,U15+V15,3,U15+V15+W15))</f>
        <v>141.13317141365042</v>
      </c>
      <c r="AO15" s="28">
        <f t="shared" si="15"/>
        <v>3676.4529751670157</v>
      </c>
      <c r="AP15" s="21"/>
      <c r="AQ15" s="98">
        <f t="shared" si="16"/>
        <v>364.55813541929433</v>
      </c>
      <c r="AR15" s="21">
        <f t="shared" si="17"/>
        <v>0</v>
      </c>
      <c r="AS15" s="98">
        <f t="shared" si="18"/>
        <v>436.19076593047606</v>
      </c>
      <c r="AT15" s="98">
        <f t="shared" si="19"/>
        <v>899.26744501478254</v>
      </c>
      <c r="AU15" s="29">
        <f t="shared" si="20"/>
        <v>78.410941086621335</v>
      </c>
      <c r="AV15" s="29">
        <f t="shared" si="21"/>
        <v>5.7148337042700037</v>
      </c>
      <c r="AW15" s="304">
        <f t="shared" si="22"/>
        <v>1784.1421211554443</v>
      </c>
      <c r="AX15" s="304">
        <f t="shared" si="23"/>
        <v>333.37826101697965</v>
      </c>
      <c r="AY15" s="319">
        <f t="shared" si="24"/>
        <v>1030.2863700836872</v>
      </c>
      <c r="BA15" s="28">
        <f t="shared" si="25"/>
        <v>1784.1421211554434</v>
      </c>
      <c r="BB15" s="232">
        <f t="shared" si="26"/>
        <v>-5.0976583703092147E-16</v>
      </c>
      <c r="BC15" s="21" t="str">
        <f t="shared" si="27"/>
        <v>same</v>
      </c>
      <c r="BF15" s="98">
        <f>IF(BB15&lt;$BF$4*-1,'Different homes'!BA15*(1+'Different homes'!$BF$4),'Different homes'!AW15*(1+'Different homes'!$BF$3))</f>
        <v>1891.1906484247711</v>
      </c>
      <c r="BI15" s="98">
        <f t="shared" si="28"/>
        <v>364.55813541929433</v>
      </c>
      <c r="BJ15" s="21">
        <f t="shared" si="29"/>
        <v>0</v>
      </c>
      <c r="BK15" s="98">
        <f t="shared" si="30"/>
        <v>422.23232273923185</v>
      </c>
      <c r="BL15" s="98">
        <f t="shared" si="31"/>
        <v>363.61090369564255</v>
      </c>
      <c r="BM15" s="29">
        <f t="shared" si="32"/>
        <v>78.410941086621335</v>
      </c>
      <c r="BN15" s="29">
        <f t="shared" si="33"/>
        <v>5.7148337042700037</v>
      </c>
      <c r="BO15" s="304">
        <f t="shared" si="34"/>
        <v>1234.52713664506</v>
      </c>
      <c r="BP15" s="304">
        <f t="shared" si="35"/>
        <v>656.66351177971114</v>
      </c>
      <c r="BQ15" s="304"/>
      <c r="BR15" s="304">
        <f t="shared" si="36"/>
        <v>1398.6930145899878</v>
      </c>
      <c r="BS15" s="304">
        <f t="shared" si="37"/>
        <v>1947.7366730502463</v>
      </c>
      <c r="BT15" s="304"/>
      <c r="BU15" s="84">
        <f t="shared" si="38"/>
        <v>141.13317141365042</v>
      </c>
      <c r="BV15" s="84">
        <f t="shared" si="39"/>
        <v>3676.4529751670157</v>
      </c>
      <c r="BW15" s="98">
        <f t="shared" si="40"/>
        <v>364.55813541929433</v>
      </c>
      <c r="BX15" s="98">
        <f t="shared" si="41"/>
        <v>422.23232273923185</v>
      </c>
      <c r="BY15" s="98">
        <f t="shared" si="42"/>
        <v>913.2258882060263</v>
      </c>
      <c r="BZ15" s="29">
        <f t="shared" si="43"/>
        <v>78.410941086621335</v>
      </c>
      <c r="CA15" s="29">
        <f t="shared" si="44"/>
        <v>5.7148337042700037</v>
      </c>
      <c r="CB15" s="304">
        <f t="shared" si="45"/>
        <v>1784.1421211554439</v>
      </c>
      <c r="CD15" s="98">
        <f t="shared" si="46"/>
        <v>364.55813541929433</v>
      </c>
      <c r="CE15" s="98">
        <f t="shared" si="47"/>
        <v>344.46333803045377</v>
      </c>
      <c r="CF15" s="98">
        <f t="shared" si="48"/>
        <v>9.065096377096836</v>
      </c>
      <c r="CG15" s="98">
        <f t="shared" si="49"/>
        <v>68.703888331681298</v>
      </c>
      <c r="CH15" s="98">
        <f t="shared" si="50"/>
        <v>131.03476854870607</v>
      </c>
      <c r="CI15" s="98">
        <f t="shared" si="51"/>
        <v>535.65654131913993</v>
      </c>
      <c r="CJ15" s="98">
        <f t="shared" si="52"/>
        <v>78.410941086621349</v>
      </c>
      <c r="CK15" s="98">
        <f t="shared" si="53"/>
        <v>5.7148337042700037</v>
      </c>
      <c r="CM15" s="304">
        <f t="shared" si="63"/>
        <v>0</v>
      </c>
      <c r="CN15" s="304">
        <f t="shared" si="64"/>
        <v>0</v>
      </c>
      <c r="CO15" s="304">
        <f t="shared" si="65"/>
        <v>246.53457833818038</v>
      </c>
      <c r="CP15" s="304">
        <f t="shared" si="54"/>
        <v>1784.1421211554439</v>
      </c>
    </row>
    <row r="16" spans="1:94" ht="22.5" customHeight="1">
      <c r="C16" s="15" t="s">
        <v>681</v>
      </c>
      <c r="E16" s="22">
        <f>D16/365</f>
        <v>0</v>
      </c>
      <c r="G16" s="23">
        <f t="shared" si="55"/>
        <v>0</v>
      </c>
      <c r="H16" s="24" t="e">
        <f t="shared" si="3"/>
        <v>#DIV/0!</v>
      </c>
      <c r="I16" s="24"/>
      <c r="J16" s="24"/>
      <c r="K16" s="16"/>
      <c r="L16" s="16"/>
      <c r="M16" s="16"/>
      <c r="Q16" s="26">
        <f>(D16-K16)/1000*'2. Check Reference Home'!B27/1000</f>
        <v>0</v>
      </c>
      <c r="R16" s="26"/>
      <c r="S16" s="21" t="str">
        <f t="shared" si="5"/>
        <v>Your household type 1</v>
      </c>
      <c r="T16" s="27">
        <f t="shared" si="6"/>
        <v>0</v>
      </c>
      <c r="U16" s="28">
        <f t="shared" si="7"/>
        <v>0</v>
      </c>
      <c r="V16" s="28">
        <f t="shared" si="8"/>
        <v>0</v>
      </c>
      <c r="W16" s="28">
        <f t="shared" si="9"/>
        <v>0</v>
      </c>
      <c r="X16" s="28">
        <f t="shared" si="10"/>
        <v>0</v>
      </c>
      <c r="Y16" s="28">
        <f t="shared" si="11"/>
        <v>0</v>
      </c>
      <c r="Z16" s="29">
        <f t="shared" si="12"/>
        <v>0</v>
      </c>
      <c r="AA16" s="29">
        <f t="shared" si="56"/>
        <v>0</v>
      </c>
      <c r="AC16" s="21" t="str">
        <f t="shared" si="13"/>
        <v>Your household type 1</v>
      </c>
      <c r="AD16" s="30">
        <v>1</v>
      </c>
      <c r="AE16" s="23">
        <f t="shared" si="57"/>
        <v>0</v>
      </c>
      <c r="AF16" s="23">
        <f t="shared" si="58"/>
        <v>0</v>
      </c>
      <c r="AG16" s="23">
        <f t="shared" si="59"/>
        <v>0</v>
      </c>
      <c r="AH16" s="31" t="str">
        <f t="shared" si="14"/>
        <v>Your household type 1</v>
      </c>
      <c r="AI16" s="23" t="e">
        <f t="shared" si="60"/>
        <v>#DIV/0!</v>
      </c>
      <c r="AJ16" s="23" t="e">
        <f t="shared" si="61"/>
        <v>#DIV/0!</v>
      </c>
      <c r="AK16" s="30">
        <v>1</v>
      </c>
      <c r="AL16" s="23" t="e">
        <f t="shared" si="62"/>
        <v>#DIV/0!</v>
      </c>
      <c r="AN16" s="84" cm="1">
        <f t="array" ref="AN16">IF(OR('4. Calculator'!$B$5=1,'4. Calculator'!$B$5=4),0,_xlfn.SWITCH('4. Calculator'!$B$6,1,U16,2,U16+V16,3,U16+V16+W16))</f>
        <v>0</v>
      </c>
      <c r="AO16" s="28">
        <f t="shared" si="15"/>
        <v>0</v>
      </c>
      <c r="AQ16" s="98">
        <f t="shared" si="16"/>
        <v>364.55813541929433</v>
      </c>
      <c r="AR16" s="21">
        <f t="shared" si="17"/>
        <v>0</v>
      </c>
      <c r="AS16" s="98">
        <f t="shared" si="18"/>
        <v>0</v>
      </c>
      <c r="AT16" s="98">
        <f t="shared" si="19"/>
        <v>0</v>
      </c>
      <c r="AU16" s="29">
        <f t="shared" si="20"/>
        <v>0</v>
      </c>
      <c r="AV16" s="29">
        <f t="shared" si="21"/>
        <v>0</v>
      </c>
      <c r="AW16" s="304">
        <f t="shared" si="22"/>
        <v>364.55813541929433</v>
      </c>
      <c r="AX16" s="304" t="e">
        <f t="shared" si="23"/>
        <v>#DIV/0!</v>
      </c>
      <c r="AY16" s="319" t="e">
        <f t="shared" si="24"/>
        <v>#DIV/0!</v>
      </c>
      <c r="BA16" s="28">
        <f t="shared" si="25"/>
        <v>364.55813541929433</v>
      </c>
      <c r="BB16" s="232">
        <f t="shared" si="26"/>
        <v>0</v>
      </c>
      <c r="BC16" s="21" t="str">
        <f t="shared" si="27"/>
        <v>same</v>
      </c>
      <c r="BF16" s="98">
        <f>IF(BB16&lt;$BF$4*-1,'Different homes'!BA16*(1+'Different homes'!$BF$4),'Different homes'!AW16*(1+'Different homes'!$BF$3))</f>
        <v>386.43162354445201</v>
      </c>
      <c r="BI16" s="98">
        <f t="shared" si="28"/>
        <v>364.55813541929433</v>
      </c>
      <c r="BJ16" s="21">
        <f t="shared" si="29"/>
        <v>0</v>
      </c>
      <c r="BK16" s="98">
        <f t="shared" si="30"/>
        <v>0</v>
      </c>
      <c r="BL16" s="98">
        <f t="shared" si="31"/>
        <v>0</v>
      </c>
      <c r="BM16" s="29">
        <f t="shared" si="32"/>
        <v>0</v>
      </c>
      <c r="BN16" s="29">
        <f t="shared" si="33"/>
        <v>0</v>
      </c>
      <c r="BO16" s="304">
        <f t="shared" si="34"/>
        <v>364.55813541929433</v>
      </c>
      <c r="BP16" s="304">
        <f t="shared" si="35"/>
        <v>21.873488125157678</v>
      </c>
      <c r="BQ16" s="304"/>
      <c r="BR16" s="304">
        <f t="shared" si="36"/>
        <v>370.02650745058372</v>
      </c>
      <c r="BS16" s="304">
        <f t="shared" si="37"/>
        <v>442.97764816992714</v>
      </c>
      <c r="BT16" s="304"/>
      <c r="BU16" s="84">
        <f t="shared" si="38"/>
        <v>0</v>
      </c>
      <c r="BV16" s="84">
        <f t="shared" si="39"/>
        <v>0</v>
      </c>
      <c r="BW16" s="98">
        <f t="shared" si="40"/>
        <v>364.55813541929433</v>
      </c>
      <c r="BX16" s="98">
        <f t="shared" si="41"/>
        <v>0</v>
      </c>
      <c r="BY16" s="98">
        <f t="shared" si="42"/>
        <v>0</v>
      </c>
      <c r="BZ16" s="29">
        <f t="shared" si="43"/>
        <v>0</v>
      </c>
      <c r="CA16" s="29">
        <f t="shared" si="44"/>
        <v>0</v>
      </c>
      <c r="CB16" s="304">
        <f t="shared" si="45"/>
        <v>364.55813541929433</v>
      </c>
      <c r="CD16" s="98">
        <f t="shared" si="46"/>
        <v>364.55813541929433</v>
      </c>
      <c r="CE16" s="98">
        <f t="shared" si="47"/>
        <v>0</v>
      </c>
      <c r="CF16" s="98">
        <f t="shared" si="48"/>
        <v>0</v>
      </c>
      <c r="CG16" s="98">
        <f t="shared" si="49"/>
        <v>0</v>
      </c>
      <c r="CH16" s="98">
        <f t="shared" si="50"/>
        <v>0</v>
      </c>
      <c r="CI16" s="98">
        <f t="shared" si="51"/>
        <v>0</v>
      </c>
      <c r="CJ16" s="98">
        <f t="shared" si="52"/>
        <v>0</v>
      </c>
      <c r="CK16" s="98">
        <f t="shared" si="53"/>
        <v>0</v>
      </c>
      <c r="CM16" s="304">
        <f t="shared" si="63"/>
        <v>0</v>
      </c>
      <c r="CN16" s="304">
        <f t="shared" si="64"/>
        <v>0</v>
      </c>
      <c r="CO16" s="304">
        <f t="shared" si="65"/>
        <v>0</v>
      </c>
      <c r="CP16" s="304">
        <f t="shared" si="54"/>
        <v>364.55813541929433</v>
      </c>
    </row>
    <row r="17" spans="3:94" ht="22.5" customHeight="1">
      <c r="C17" s="15" t="s">
        <v>682</v>
      </c>
      <c r="E17" s="22">
        <f t="shared" si="2"/>
        <v>0</v>
      </c>
      <c r="G17" s="23">
        <f t="shared" si="55"/>
        <v>0</v>
      </c>
      <c r="H17" s="24" t="e">
        <f t="shared" si="3"/>
        <v>#DIV/0!</v>
      </c>
      <c r="I17" s="24"/>
      <c r="J17" s="24"/>
      <c r="K17" s="16"/>
      <c r="L17" s="16"/>
      <c r="M17" s="16"/>
      <c r="Q17" s="26">
        <f>(D17-K17)/1000*'2. Check Reference Home'!B27/1000</f>
        <v>0</v>
      </c>
      <c r="R17" s="26"/>
      <c r="S17" s="21" t="str">
        <f t="shared" si="5"/>
        <v>Your household type 2</v>
      </c>
      <c r="T17" s="27">
        <f t="shared" si="6"/>
        <v>0</v>
      </c>
      <c r="U17" s="28">
        <f t="shared" si="7"/>
        <v>0</v>
      </c>
      <c r="V17" s="28">
        <f t="shared" si="8"/>
        <v>0</v>
      </c>
      <c r="W17" s="28">
        <f t="shared" si="9"/>
        <v>0</v>
      </c>
      <c r="X17" s="28">
        <f t="shared" si="10"/>
        <v>0</v>
      </c>
      <c r="Y17" s="28">
        <f t="shared" si="11"/>
        <v>0</v>
      </c>
      <c r="Z17" s="29">
        <f t="shared" si="12"/>
        <v>0</v>
      </c>
      <c r="AA17" s="29">
        <f t="shared" si="56"/>
        <v>0</v>
      </c>
      <c r="AC17" s="21" t="str">
        <f t="shared" si="13"/>
        <v>Your household type 2</v>
      </c>
      <c r="AD17" s="30">
        <v>1</v>
      </c>
      <c r="AE17" s="23">
        <f t="shared" si="57"/>
        <v>0</v>
      </c>
      <c r="AF17" s="23">
        <f t="shared" si="58"/>
        <v>0</v>
      </c>
      <c r="AG17" s="23">
        <f t="shared" si="59"/>
        <v>0</v>
      </c>
      <c r="AH17" s="31" t="str">
        <f t="shared" si="14"/>
        <v>Your household type 2</v>
      </c>
      <c r="AI17" s="23" t="e">
        <f t="shared" si="60"/>
        <v>#DIV/0!</v>
      </c>
      <c r="AJ17" s="23" t="e">
        <f t="shared" si="61"/>
        <v>#DIV/0!</v>
      </c>
      <c r="AK17" s="30">
        <v>1</v>
      </c>
      <c r="AL17" s="23" t="e">
        <f t="shared" si="62"/>
        <v>#DIV/0!</v>
      </c>
      <c r="AN17" s="84" cm="1">
        <f t="array" ref="AN17">IF(OR('4. Calculator'!$B$5=1,'4. Calculator'!$B$5=4),0,_xlfn.SWITCH('4. Calculator'!$B$6,1,U17,2,U17+V17,3,U17+V17+W17))</f>
        <v>0</v>
      </c>
      <c r="AO17" s="28">
        <f t="shared" si="15"/>
        <v>0</v>
      </c>
      <c r="AQ17" s="98">
        <f t="shared" si="16"/>
        <v>364.55813541929433</v>
      </c>
      <c r="AR17" s="21">
        <f t="shared" si="17"/>
        <v>0</v>
      </c>
      <c r="AS17" s="98">
        <f t="shared" si="18"/>
        <v>0</v>
      </c>
      <c r="AT17" s="98">
        <f t="shared" si="19"/>
        <v>0</v>
      </c>
      <c r="AU17" s="29">
        <f t="shared" si="20"/>
        <v>0</v>
      </c>
      <c r="AV17" s="29">
        <f t="shared" si="21"/>
        <v>0</v>
      </c>
      <c r="AW17" s="304">
        <f t="shared" si="22"/>
        <v>364.55813541929433</v>
      </c>
      <c r="AX17" s="304" t="e">
        <f t="shared" si="23"/>
        <v>#DIV/0!</v>
      </c>
      <c r="AY17" s="319" t="e">
        <f t="shared" si="24"/>
        <v>#DIV/0!</v>
      </c>
      <c r="BA17" s="28">
        <f t="shared" si="25"/>
        <v>364.55813541929433</v>
      </c>
      <c r="BB17" s="232">
        <f t="shared" si="26"/>
        <v>0</v>
      </c>
      <c r="BC17" s="21" t="str">
        <f t="shared" si="27"/>
        <v>same</v>
      </c>
      <c r="BF17" s="98">
        <f>IF(BB17&lt;$BF$4*-1,'Different homes'!BA17*(1+'Different homes'!$BF$4),'Different homes'!AW17*(1+'Different homes'!$BF$3))</f>
        <v>386.43162354445201</v>
      </c>
      <c r="BI17" s="98">
        <f t="shared" si="28"/>
        <v>364.55813541929433</v>
      </c>
      <c r="BJ17" s="21">
        <f t="shared" si="29"/>
        <v>0</v>
      </c>
      <c r="BK17" s="98">
        <f t="shared" si="30"/>
        <v>0</v>
      </c>
      <c r="BL17" s="98">
        <f t="shared" si="31"/>
        <v>0</v>
      </c>
      <c r="BM17" s="29">
        <f t="shared" si="32"/>
        <v>0</v>
      </c>
      <c r="BN17" s="29">
        <f t="shared" si="33"/>
        <v>0</v>
      </c>
      <c r="BO17" s="304">
        <f t="shared" si="34"/>
        <v>364.55813541929433</v>
      </c>
      <c r="BP17" s="304">
        <f t="shared" si="35"/>
        <v>21.873488125157678</v>
      </c>
      <c r="BQ17" s="304"/>
      <c r="BR17" s="304">
        <f t="shared" si="36"/>
        <v>370.02650745058372</v>
      </c>
      <c r="BS17" s="304">
        <f t="shared" si="37"/>
        <v>442.97764816992714</v>
      </c>
      <c r="BT17" s="304"/>
      <c r="BU17" s="84">
        <f t="shared" si="38"/>
        <v>0</v>
      </c>
      <c r="BV17" s="84">
        <f t="shared" si="39"/>
        <v>0</v>
      </c>
      <c r="BW17" s="98">
        <f t="shared" si="40"/>
        <v>364.55813541929433</v>
      </c>
      <c r="BX17" s="98">
        <f t="shared" si="41"/>
        <v>0</v>
      </c>
      <c r="BY17" s="98">
        <f t="shared" si="42"/>
        <v>0</v>
      </c>
      <c r="BZ17" s="29">
        <f t="shared" si="43"/>
        <v>0</v>
      </c>
      <c r="CA17" s="29">
        <f t="shared" si="44"/>
        <v>0</v>
      </c>
      <c r="CB17" s="304">
        <f t="shared" si="45"/>
        <v>364.55813541929433</v>
      </c>
      <c r="CD17" s="98">
        <f t="shared" si="46"/>
        <v>364.55813541929433</v>
      </c>
      <c r="CE17" s="98">
        <f t="shared" si="47"/>
        <v>0</v>
      </c>
      <c r="CF17" s="98">
        <f t="shared" si="48"/>
        <v>0</v>
      </c>
      <c r="CG17" s="98">
        <f t="shared" si="49"/>
        <v>0</v>
      </c>
      <c r="CH17" s="98">
        <f t="shared" si="50"/>
        <v>0</v>
      </c>
      <c r="CI17" s="98">
        <f t="shared" si="51"/>
        <v>0</v>
      </c>
      <c r="CJ17" s="98">
        <f t="shared" si="52"/>
        <v>0</v>
      </c>
      <c r="CK17" s="98">
        <f t="shared" si="53"/>
        <v>0</v>
      </c>
      <c r="CM17" s="304">
        <f t="shared" si="63"/>
        <v>0</v>
      </c>
      <c r="CN17" s="304">
        <f t="shared" si="64"/>
        <v>0</v>
      </c>
      <c r="CO17" s="304">
        <f t="shared" si="65"/>
        <v>0</v>
      </c>
      <c r="CP17" s="304">
        <f t="shared" si="54"/>
        <v>364.55813541929433</v>
      </c>
    </row>
    <row r="18" spans="3:94">
      <c r="CD18" s="98"/>
      <c r="CE18" s="98"/>
      <c r="CF18" s="98"/>
      <c r="CG18" s="98"/>
      <c r="CH18" s="98"/>
      <c r="CI18" s="98"/>
      <c r="CJ18" s="98"/>
      <c r="CK18" s="98"/>
      <c r="CM18" s="304"/>
      <c r="CN18" s="304"/>
      <c r="CO18" s="304"/>
      <c r="CP18" s="304"/>
    </row>
    <row r="19" spans="3:94">
      <c r="AV19" s="15" t="s">
        <v>683</v>
      </c>
      <c r="CC19" s="15" t="str">
        <f>C21</f>
        <v>assuming efficient electrified homes are the norm</v>
      </c>
      <c r="CD19" s="98">
        <f t="shared" si="46"/>
        <v>364.55813541929433</v>
      </c>
      <c r="CE19" s="98">
        <f>IFERROR($CE$3*F21,0)</f>
        <v>596.75046840405696</v>
      </c>
      <c r="CF19" s="98">
        <f>IFERROR($CF$3*U21,0)/1000</f>
        <v>15.704430375932192</v>
      </c>
      <c r="CG19" s="98">
        <f>IFERROR($CG$3*V21,0)/1000</f>
        <v>119.02305127022296</v>
      </c>
      <c r="CH19" s="98">
        <f>IFERROR($CH$3*W21,0)/1000</f>
        <v>227.00546292024953</v>
      </c>
      <c r="CI19" s="98">
        <f>IFERROR($CI$3*Y21,0)/1000</f>
        <v>1063.5221060713566</v>
      </c>
      <c r="CJ19" s="98">
        <f>IFERROR($CJ$3*Z21,0)/1000</f>
        <v>65.255484531121184</v>
      </c>
      <c r="CK19" s="98">
        <f>IFERROR($CK$3*AA21,0)/1000</f>
        <v>295.02059393061512</v>
      </c>
      <c r="CL19" s="321">
        <f>(1107+CL5)/2</f>
        <v>676.76728916909019</v>
      </c>
      <c r="CM19" s="304">
        <f>$CL$19*CM2</f>
        <v>0</v>
      </c>
      <c r="CN19" s="304">
        <f t="shared" ref="CN19:CO19" si="72">$CL$19*CN2</f>
        <v>0</v>
      </c>
      <c r="CO19" s="304">
        <f t="shared" si="72"/>
        <v>676.76728916909019</v>
      </c>
      <c r="CP19" s="304">
        <f>SUM(CD19:CK19,CM19:CO19)</f>
        <v>3423.6070220919391</v>
      </c>
    </row>
    <row r="20" spans="3:94">
      <c r="C20" s="17" t="s">
        <v>684</v>
      </c>
      <c r="CD20" s="98"/>
      <c r="CE20" s="98"/>
      <c r="CF20" s="98"/>
      <c r="CG20" s="98"/>
      <c r="CH20" s="98"/>
      <c r="CI20" s="98"/>
      <c r="CJ20" s="98"/>
      <c r="CK20" s="98"/>
      <c r="CM20" s="304"/>
      <c r="CN20" s="304"/>
      <c r="CO20" s="304"/>
      <c r="CP20" s="304"/>
    </row>
    <row r="21" spans="3:94">
      <c r="C21" s="15" t="s">
        <v>685</v>
      </c>
      <c r="D21" s="16">
        <v>14000</v>
      </c>
      <c r="F21" s="16">
        <v>3</v>
      </c>
      <c r="K21" s="15">
        <f>D13*0.17/2</f>
        <v>1190</v>
      </c>
      <c r="L21" s="405">
        <f>L13</f>
        <v>2520</v>
      </c>
      <c r="O21" s="15">
        <f>2160+D13*0.46/2</f>
        <v>5380</v>
      </c>
      <c r="S21" s="21" t="str">
        <f t="shared" ref="S21" si="73">C21</f>
        <v>assuming efficient electrified homes are the norm</v>
      </c>
      <c r="T21" s="27">
        <f t="shared" ref="T21" si="74">F21</f>
        <v>3</v>
      </c>
      <c r="U21" s="28">
        <f t="shared" ref="U21" si="75">$T21*U$3*10</f>
        <v>28.499999999999996</v>
      </c>
      <c r="V21" s="28">
        <f t="shared" ref="V21" si="76">$T21*V$3*90</f>
        <v>216.00000000000003</v>
      </c>
      <c r="W21" s="28">
        <f t="shared" ref="W21" si="77">$T21*W$3*400</f>
        <v>780.00000000000011</v>
      </c>
      <c r="X21" s="28">
        <f t="shared" ref="X21" si="78">D21-U21-V21-W21</f>
        <v>12975.5</v>
      </c>
      <c r="Y21" s="28">
        <f t="shared" ref="Y21" si="79">X21-Z21-AA21</f>
        <v>6405.5</v>
      </c>
      <c r="Z21" s="29">
        <f t="shared" ref="Z21" si="80">K21</f>
        <v>1190</v>
      </c>
      <c r="AA21" s="29">
        <f>O21</f>
        <v>5380</v>
      </c>
    </row>
    <row r="22" spans="3:94">
      <c r="CD22" s="98"/>
      <c r="CE22" s="98"/>
      <c r="CF22" s="98"/>
      <c r="CG22" s="98"/>
      <c r="CH22" s="98"/>
      <c r="CI22" s="98"/>
      <c r="CJ22" s="98"/>
      <c r="CK22" s="98"/>
      <c r="CM22" s="304"/>
      <c r="CN22" s="304"/>
      <c r="CO22" s="304"/>
      <c r="CP22" s="304"/>
    </row>
  </sheetData>
  <phoneticPr fontId="48" type="noConversion"/>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E5E926-6D1D-42E5-B565-29803C495C66}">
  <dimension ref="A1:AI36"/>
  <sheetViews>
    <sheetView topLeftCell="A22" workbookViewId="0">
      <selection activeCell="P24" sqref="P24"/>
    </sheetView>
  </sheetViews>
  <sheetFormatPr defaultColWidth="8.7109375" defaultRowHeight="14.1"/>
  <cols>
    <col min="1" max="1" width="3" style="12" customWidth="1"/>
    <col min="2" max="2" width="8.7109375" style="15"/>
    <col min="3" max="3" width="43.42578125" style="15" customWidth="1"/>
    <col min="4" max="8" width="9.85546875" style="16" customWidth="1"/>
    <col min="9" max="9" width="9.42578125" style="15" bestFit="1" customWidth="1"/>
    <col min="10" max="10" width="9.42578125" style="15" customWidth="1"/>
    <col min="11" max="11" width="8.7109375" style="15"/>
    <col min="12" max="12" width="9.42578125" style="15" bestFit="1" customWidth="1"/>
    <col min="13" max="16" width="8.7109375" style="15"/>
    <col min="17" max="17" width="12" style="15" customWidth="1"/>
    <col min="18" max="16384" width="8.7109375" style="15"/>
  </cols>
  <sheetData>
    <row r="1" spans="1:35" s="13" customFormat="1">
      <c r="A1" s="12"/>
      <c r="D1" s="14"/>
      <c r="E1" s="14"/>
      <c r="F1" s="14"/>
      <c r="G1" s="14"/>
      <c r="H1" s="14"/>
    </row>
    <row r="2" spans="1:35">
      <c r="AA2" s="17" t="s">
        <v>625</v>
      </c>
    </row>
    <row r="3" spans="1:35" ht="21">
      <c r="Q3" s="17" t="s">
        <v>632</v>
      </c>
      <c r="R3" s="18">
        <v>0.95</v>
      </c>
      <c r="S3" s="18">
        <v>0.8</v>
      </c>
      <c r="T3" s="18">
        <v>0.65</v>
      </c>
      <c r="U3" s="18"/>
      <c r="Z3" s="19" t="s">
        <v>633</v>
      </c>
      <c r="AA3" s="15" t="s">
        <v>634</v>
      </c>
      <c r="AB3" s="15" t="s">
        <v>634</v>
      </c>
      <c r="AC3" s="15" t="s">
        <v>634</v>
      </c>
      <c r="AD3" s="15" t="s">
        <v>634</v>
      </c>
      <c r="AF3" s="15" t="s">
        <v>635</v>
      </c>
      <c r="AG3" s="15" t="s">
        <v>635</v>
      </c>
      <c r="AH3" s="15" t="s">
        <v>635</v>
      </c>
      <c r="AI3" s="15" t="s">
        <v>635</v>
      </c>
    </row>
    <row r="4" spans="1:35" ht="41.1">
      <c r="C4" s="17" t="s">
        <v>638</v>
      </c>
      <c r="D4" s="19" t="s">
        <v>639</v>
      </c>
      <c r="E4" s="19" t="s">
        <v>207</v>
      </c>
      <c r="F4" s="19" t="s">
        <v>209</v>
      </c>
      <c r="G4" s="19" t="s">
        <v>210</v>
      </c>
      <c r="H4" s="19" t="s">
        <v>211</v>
      </c>
      <c r="I4" s="19" t="s">
        <v>641</v>
      </c>
      <c r="J4" s="19" t="s">
        <v>642</v>
      </c>
      <c r="K4" s="19" t="s">
        <v>390</v>
      </c>
      <c r="L4" s="19" t="s">
        <v>643</v>
      </c>
      <c r="M4" s="19" t="s">
        <v>645</v>
      </c>
      <c r="N4" s="19" t="s">
        <v>646</v>
      </c>
      <c r="O4" s="19"/>
      <c r="P4" s="19"/>
      <c r="Q4" s="19" t="s">
        <v>218</v>
      </c>
      <c r="R4" s="19" t="s">
        <v>219</v>
      </c>
      <c r="S4" s="19" t="s">
        <v>221</v>
      </c>
      <c r="T4" s="19" t="s">
        <v>647</v>
      </c>
      <c r="U4" s="19" t="s">
        <v>225</v>
      </c>
      <c r="V4" s="19" t="s">
        <v>226</v>
      </c>
      <c r="W4" s="19" t="s">
        <v>227</v>
      </c>
      <c r="X4" s="19" t="s">
        <v>228</v>
      </c>
      <c r="Y4" s="19"/>
      <c r="Z4" s="19" t="s">
        <v>648</v>
      </c>
      <c r="AA4" s="15" t="s">
        <v>634</v>
      </c>
      <c r="AB4" s="15" t="s">
        <v>148</v>
      </c>
      <c r="AC4" s="15" t="s">
        <v>635</v>
      </c>
      <c r="AD4" s="15" t="s">
        <v>649</v>
      </c>
      <c r="AF4" s="15" t="s">
        <v>634</v>
      </c>
      <c r="AG4" s="15" t="s">
        <v>148</v>
      </c>
      <c r="AH4" s="15" t="s">
        <v>635</v>
      </c>
      <c r="AI4" s="15" t="s">
        <v>649</v>
      </c>
    </row>
    <row r="5" spans="1:35" s="21" customFormat="1">
      <c r="A5" s="20"/>
      <c r="C5" s="21" t="s">
        <v>670</v>
      </c>
      <c r="D5" s="22">
        <f>D26</f>
        <v>5025.6756756756758</v>
      </c>
      <c r="E5" s="22">
        <f>D5/365</f>
        <v>13.768974453905962</v>
      </c>
      <c r="F5" s="23">
        <f>F26</f>
        <v>1.8608108108108108</v>
      </c>
      <c r="G5" s="23">
        <f>E5/24</f>
        <v>0.57370726891274837</v>
      </c>
      <c r="H5" s="24">
        <f>G5/F5</f>
        <v>0.30831036964083791</v>
      </c>
      <c r="I5" s="22">
        <f>D24/D19*1000000</f>
        <v>1202.7027027027027</v>
      </c>
      <c r="J5" s="22">
        <f>D25/D19*1000000</f>
        <v>1006.7567567567568</v>
      </c>
      <c r="K5" s="22">
        <f>J5+D5</f>
        <v>6032.4324324324325</v>
      </c>
      <c r="L5" s="21">
        <f>1800*M9</f>
        <v>738</v>
      </c>
      <c r="M5" s="25">
        <v>1</v>
      </c>
      <c r="N5" s="26">
        <v>1.0839822100581593</v>
      </c>
      <c r="O5" s="26"/>
      <c r="P5" s="21" t="str">
        <f>C5</f>
        <v>Reference household</v>
      </c>
      <c r="Q5" s="27">
        <f>F5</f>
        <v>1.8608108108108108</v>
      </c>
      <c r="R5" s="28">
        <f>$Q5*R$3*10</f>
        <v>17.677702702702703</v>
      </c>
      <c r="S5" s="28">
        <f>$Q5*S$3*90</f>
        <v>133.97837837837838</v>
      </c>
      <c r="T5" s="28">
        <f>$Q5*T$3*400</f>
        <v>483.81081081081084</v>
      </c>
      <c r="U5" s="28">
        <f>D5-R5-S5-T5</f>
        <v>4390.2087837837835</v>
      </c>
      <c r="V5" s="28">
        <f>U5-W5-X5</f>
        <v>3186.506081081081</v>
      </c>
      <c r="W5" s="29">
        <f>I5</f>
        <v>1202.7027027027027</v>
      </c>
      <c r="X5" s="21">
        <v>1</v>
      </c>
      <c r="Z5" s="21" t="str">
        <f>C5</f>
        <v>Reference household</v>
      </c>
      <c r="AA5" s="30">
        <v>1</v>
      </c>
      <c r="AB5" s="30">
        <v>1</v>
      </c>
      <c r="AC5" s="30">
        <v>1</v>
      </c>
      <c r="AD5" s="30">
        <v>1</v>
      </c>
      <c r="AE5" s="31" t="str">
        <f>Z5</f>
        <v>Reference household</v>
      </c>
      <c r="AF5" s="30">
        <v>1</v>
      </c>
      <c r="AG5" s="30">
        <v>1</v>
      </c>
      <c r="AH5" s="30">
        <v>1</v>
      </c>
      <c r="AI5" s="30">
        <v>1</v>
      </c>
    </row>
    <row r="6" spans="1:35" s="21" customFormat="1">
      <c r="A6" s="20"/>
      <c r="C6" s="21" t="s">
        <v>671</v>
      </c>
      <c r="D6" s="22">
        <f>K6-2100</f>
        <v>3932.4324324324325</v>
      </c>
      <c r="E6" s="22">
        <f t="shared" ref="E6:E14" si="0">D6/365</f>
        <v>10.773787486116253</v>
      </c>
      <c r="F6" s="32">
        <f>F5</f>
        <v>1.8608108108108108</v>
      </c>
      <c r="G6" s="23">
        <f>E6/24</f>
        <v>0.44890781192151058</v>
      </c>
      <c r="H6" s="24">
        <f t="shared" ref="H6:H14" si="1">G6/F6</f>
        <v>0.24124312332746392</v>
      </c>
      <c r="I6" s="30">
        <v>0</v>
      </c>
      <c r="J6" s="22">
        <f>K6-D6</f>
        <v>2100</v>
      </c>
      <c r="K6" s="22">
        <f>K5</f>
        <v>6032.4324324324325</v>
      </c>
      <c r="L6" s="21">
        <f>L5</f>
        <v>738</v>
      </c>
      <c r="M6" s="25">
        <v>0.48</v>
      </c>
      <c r="N6" s="26">
        <v>1.1150188162846388</v>
      </c>
      <c r="O6" s="26"/>
      <c r="P6" s="21" t="str">
        <f t="shared" ref="P6:P14" si="2">C6</f>
        <v>average solar home</v>
      </c>
      <c r="Q6" s="27">
        <f t="shared" ref="Q6:Q14" si="3">F6</f>
        <v>1.8608108108108108</v>
      </c>
      <c r="R6" s="28">
        <f t="shared" ref="R6:R14" si="4">$Q6*R$3*10</f>
        <v>17.677702702702703</v>
      </c>
      <c r="S6" s="28">
        <f t="shared" ref="S6:S14" si="5">$Q6*S$3*90</f>
        <v>133.97837837837838</v>
      </c>
      <c r="T6" s="28">
        <f t="shared" ref="T6:T14" si="6">$Q6*T$3*400</f>
        <v>483.81081081081084</v>
      </c>
      <c r="U6" s="28">
        <f t="shared" ref="U6:U14" si="7">D6-R6-S6-T6</f>
        <v>3296.9655405405406</v>
      </c>
      <c r="V6" s="28">
        <f t="shared" ref="V6:V14" si="8">U6-W6-X6</f>
        <v>3295.9655405405406</v>
      </c>
      <c r="W6" s="29">
        <f t="shared" ref="W6:W14" si="9">I6</f>
        <v>0</v>
      </c>
      <c r="X6" s="21">
        <v>1</v>
      </c>
      <c r="Z6" s="21" t="str">
        <f t="shared" ref="Z6:Z14" si="10">C6</f>
        <v>average solar home</v>
      </c>
      <c r="AA6" s="30">
        <v>1</v>
      </c>
      <c r="AB6" s="23">
        <f>F6/$F$5</f>
        <v>1</v>
      </c>
      <c r="AC6" s="23">
        <f>D6/$D$5</f>
        <v>0.78246840548534546</v>
      </c>
      <c r="AD6" s="23">
        <f>(D6-I6-X6)/($D$5-$I$5-$X$5)</f>
        <v>1.0286395168761004</v>
      </c>
      <c r="AE6" s="31" t="str">
        <f t="shared" ref="AE6:AE14" si="11">Z6</f>
        <v>average solar home</v>
      </c>
      <c r="AF6" s="23">
        <f>$D$5/D6</f>
        <v>1.2780068728522338</v>
      </c>
      <c r="AG6" s="23">
        <f>AB6/AC6</f>
        <v>1.2780068728522338</v>
      </c>
      <c r="AH6" s="30">
        <v>1</v>
      </c>
      <c r="AI6" s="23">
        <f>AD6/AC6</f>
        <v>1.3146083722550577</v>
      </c>
    </row>
    <row r="7" spans="1:35" s="21" customFormat="1">
      <c r="A7" s="20"/>
      <c r="C7" s="21" t="s">
        <v>672</v>
      </c>
      <c r="D7" s="22">
        <f>K7</f>
        <v>6032.4324324324325</v>
      </c>
      <c r="E7" s="22">
        <f t="shared" si="0"/>
        <v>16.527212143650502</v>
      </c>
      <c r="F7" s="27">
        <f>F6</f>
        <v>1.8608108108108108</v>
      </c>
      <c r="G7" s="23">
        <f t="shared" ref="G7:G14" si="12">E7/24</f>
        <v>0.68863383931877087</v>
      </c>
      <c r="H7" s="24">
        <f t="shared" si="1"/>
        <v>0.37007192526934674</v>
      </c>
      <c r="I7" s="22">
        <f>I5/M7</f>
        <v>2312.8898128898127</v>
      </c>
      <c r="J7" s="22">
        <v>0</v>
      </c>
      <c r="K7" s="22">
        <f>K6</f>
        <v>6032.4324324324325</v>
      </c>
      <c r="L7" s="21">
        <f>L6</f>
        <v>738</v>
      </c>
      <c r="M7" s="25">
        <v>0.52</v>
      </c>
      <c r="N7" s="26">
        <v>1.0546551225032237</v>
      </c>
      <c r="O7" s="26"/>
      <c r="P7" s="21" t="str">
        <f t="shared" si="2"/>
        <v>average non-solar home</v>
      </c>
      <c r="Q7" s="27">
        <f t="shared" si="3"/>
        <v>1.8608108108108108</v>
      </c>
      <c r="R7" s="28">
        <f t="shared" si="4"/>
        <v>17.677702702702703</v>
      </c>
      <c r="S7" s="28">
        <f t="shared" si="5"/>
        <v>133.97837837837838</v>
      </c>
      <c r="T7" s="28">
        <f t="shared" si="6"/>
        <v>483.81081081081084</v>
      </c>
      <c r="U7" s="28">
        <f t="shared" si="7"/>
        <v>5396.9655405405401</v>
      </c>
      <c r="V7" s="28">
        <f t="shared" si="8"/>
        <v>3083.0757276507275</v>
      </c>
      <c r="W7" s="29">
        <f t="shared" si="9"/>
        <v>2312.8898128898127</v>
      </c>
      <c r="X7" s="21">
        <v>1</v>
      </c>
      <c r="Z7" s="21" t="str">
        <f t="shared" si="10"/>
        <v>average non-solar home</v>
      </c>
      <c r="AA7" s="30">
        <v>1</v>
      </c>
      <c r="AB7" s="23">
        <f t="shared" ref="AB7:AB14" si="13">F7/$F$5</f>
        <v>1</v>
      </c>
      <c r="AC7" s="23">
        <f t="shared" ref="AC7:AC14" si="14">D7/$D$5</f>
        <v>1.2003226673837053</v>
      </c>
      <c r="AD7" s="23">
        <f t="shared" ref="AD7:AD14" si="15">(D7-I7-X7)/($D$5-$I$5-$X$5)</f>
        <v>0.97293796838393165</v>
      </c>
      <c r="AE7" s="31" t="str">
        <f t="shared" si="11"/>
        <v>average non-solar home</v>
      </c>
      <c r="AF7" s="23">
        <f t="shared" ref="AF7:AF14" si="16">$D$5/D7</f>
        <v>0.83310931899641583</v>
      </c>
      <c r="AG7" s="23">
        <f t="shared" ref="AG7:AG14" si="17">AB7/AC7</f>
        <v>0.83310931899641572</v>
      </c>
      <c r="AH7" s="30">
        <v>1</v>
      </c>
      <c r="AI7" s="23">
        <f t="shared" ref="AI7:AI14" si="18">AD7/AC7</f>
        <v>0.8105636882660936</v>
      </c>
    </row>
    <row r="8" spans="1:35" s="21" customFormat="1">
      <c r="A8" s="20"/>
      <c r="C8" s="21" t="s">
        <v>673</v>
      </c>
      <c r="D8" s="30">
        <v>3500</v>
      </c>
      <c r="E8" s="22">
        <f t="shared" si="0"/>
        <v>9.5890410958904102</v>
      </c>
      <c r="F8" s="32">
        <v>0.951590594744122</v>
      </c>
      <c r="G8" s="23">
        <f t="shared" si="12"/>
        <v>0.39954337899543374</v>
      </c>
      <c r="H8" s="24">
        <f t="shared" si="1"/>
        <v>0.41986898693851527</v>
      </c>
      <c r="I8" s="22">
        <f>I5/D5*D8</f>
        <v>837.59075020166711</v>
      </c>
      <c r="J8" s="22">
        <f>D25/D19*1000000*0.39</f>
        <v>392.63513513513516</v>
      </c>
      <c r="K8" s="22">
        <f>J8+D8</f>
        <v>3892.635135135135</v>
      </c>
      <c r="L8" s="21">
        <v>0</v>
      </c>
      <c r="M8" s="25">
        <v>0.59</v>
      </c>
      <c r="N8" s="26">
        <v>0.75491097715800826</v>
      </c>
      <c r="O8" s="26"/>
      <c r="P8" s="21" t="str">
        <f t="shared" si="2"/>
        <v>average gas home</v>
      </c>
      <c r="Q8" s="27">
        <f t="shared" si="3"/>
        <v>0.951590594744122</v>
      </c>
      <c r="R8" s="28">
        <f t="shared" si="4"/>
        <v>9.0401106500691579</v>
      </c>
      <c r="S8" s="28">
        <f t="shared" si="5"/>
        <v>68.51452282157679</v>
      </c>
      <c r="T8" s="28">
        <f t="shared" si="6"/>
        <v>247.41355463347173</v>
      </c>
      <c r="U8" s="28">
        <f t="shared" si="7"/>
        <v>3175.0318118948821</v>
      </c>
      <c r="V8" s="28">
        <f t="shared" si="8"/>
        <v>2336.441061693215</v>
      </c>
      <c r="W8" s="29">
        <f t="shared" si="9"/>
        <v>837.59075020166711</v>
      </c>
      <c r="X8" s="21">
        <v>1</v>
      </c>
      <c r="Z8" s="21" t="str">
        <f t="shared" si="10"/>
        <v>average gas home</v>
      </c>
      <c r="AA8" s="30">
        <v>1</v>
      </c>
      <c r="AB8" s="23">
        <f t="shared" si="13"/>
        <v>0.51138492382763279</v>
      </c>
      <c r="AC8" s="23">
        <f t="shared" si="14"/>
        <v>0.69642376983059961</v>
      </c>
      <c r="AD8" s="23">
        <f t="shared" si="15"/>
        <v>0.69634434063727035</v>
      </c>
      <c r="AE8" s="31" t="str">
        <f t="shared" si="11"/>
        <v>average gas home</v>
      </c>
      <c r="AF8" s="23">
        <f t="shared" si="16"/>
        <v>1.435907335907336</v>
      </c>
      <c r="AG8" s="23">
        <f t="shared" si="17"/>
        <v>0.7343013635965121</v>
      </c>
      <c r="AH8" s="30">
        <v>1</v>
      </c>
      <c r="AI8" s="23">
        <f t="shared" si="18"/>
        <v>0.99988594703861333</v>
      </c>
    </row>
    <row r="9" spans="1:35" s="21" customFormat="1">
      <c r="A9" s="20"/>
      <c r="C9" s="21" t="s">
        <v>674</v>
      </c>
      <c r="D9" s="30">
        <v>7000</v>
      </c>
      <c r="E9" s="22">
        <f t="shared" si="0"/>
        <v>19.17808219178082</v>
      </c>
      <c r="F9" s="32">
        <v>2.2996772706316273</v>
      </c>
      <c r="G9" s="23">
        <f t="shared" si="12"/>
        <v>0.79908675799086748</v>
      </c>
      <c r="H9" s="24">
        <f t="shared" si="1"/>
        <v>0.34747778229394383</v>
      </c>
      <c r="I9" s="22">
        <f>I5/D5*D9</f>
        <v>1675.1815004033342</v>
      </c>
      <c r="J9" s="22">
        <f>J5</f>
        <v>1006.7567567567568</v>
      </c>
      <c r="K9" s="22">
        <f>J9+D9</f>
        <v>8006.7567567567567</v>
      </c>
      <c r="L9" s="21">
        <v>1800</v>
      </c>
      <c r="M9" s="25">
        <v>0.41</v>
      </c>
      <c r="N9" s="26">
        <v>1.5098219543160165</v>
      </c>
      <c r="O9" s="26"/>
      <c r="P9" s="21" t="str">
        <f t="shared" si="2"/>
        <v>average electric home</v>
      </c>
      <c r="Q9" s="27">
        <f t="shared" si="3"/>
        <v>2.2996772706316273</v>
      </c>
      <c r="R9" s="28">
        <f t="shared" si="4"/>
        <v>21.846934071000458</v>
      </c>
      <c r="S9" s="28">
        <f t="shared" si="5"/>
        <v>165.57676348547716</v>
      </c>
      <c r="T9" s="28">
        <f t="shared" si="6"/>
        <v>597.91609036422312</v>
      </c>
      <c r="U9" s="28">
        <f t="shared" si="7"/>
        <v>6214.6602120792986</v>
      </c>
      <c r="V9" s="28">
        <f t="shared" si="8"/>
        <v>4538.4787116759644</v>
      </c>
      <c r="W9" s="29">
        <f t="shared" si="9"/>
        <v>1675.1815004033342</v>
      </c>
      <c r="X9" s="21">
        <v>1</v>
      </c>
      <c r="Z9" s="21" t="str">
        <f t="shared" si="10"/>
        <v>average electric home</v>
      </c>
      <c r="AA9" s="30">
        <v>1</v>
      </c>
      <c r="AB9" s="23">
        <f t="shared" si="13"/>
        <v>1.2358468992501119</v>
      </c>
      <c r="AC9" s="23">
        <f t="shared" si="14"/>
        <v>1.3928475396611992</v>
      </c>
      <c r="AD9" s="23">
        <f t="shared" si="15"/>
        <v>1.3929503262435321</v>
      </c>
      <c r="AE9" s="31" t="str">
        <f t="shared" si="11"/>
        <v>average electric home</v>
      </c>
      <c r="AF9" s="23">
        <f t="shared" si="16"/>
        <v>0.717953667953668</v>
      </c>
      <c r="AG9" s="23">
        <f t="shared" si="17"/>
        <v>0.88728081434578498</v>
      </c>
      <c r="AH9" s="30">
        <v>1</v>
      </c>
      <c r="AI9" s="23">
        <f t="shared" si="18"/>
        <v>1.0000737960038022</v>
      </c>
    </row>
    <row r="10" spans="1:35" s="21" customFormat="1">
      <c r="A10" s="20"/>
      <c r="C10" s="21" t="s">
        <v>675</v>
      </c>
      <c r="D10" s="30">
        <v>5000</v>
      </c>
      <c r="E10" s="22">
        <f t="shared" si="0"/>
        <v>13.698630136986301</v>
      </c>
      <c r="F10" s="32">
        <v>4</v>
      </c>
      <c r="G10" s="23">
        <f t="shared" si="12"/>
        <v>0.57077625570776258</v>
      </c>
      <c r="H10" s="24">
        <f t="shared" si="1"/>
        <v>0.14269406392694065</v>
      </c>
      <c r="I10" s="22">
        <f>I8*1.2</f>
        <v>1005.1089002420005</v>
      </c>
      <c r="J10" s="22">
        <f>J8*1.2</f>
        <v>471.16216216216219</v>
      </c>
      <c r="K10" s="22">
        <f>J10+D10</f>
        <v>5471.1621621621625</v>
      </c>
      <c r="L10" s="21">
        <v>0</v>
      </c>
      <c r="N10" s="26">
        <v>1.1327286156275844</v>
      </c>
      <c r="O10" s="26"/>
      <c r="P10" s="21" t="str">
        <f t="shared" si="2"/>
        <v>big gas home</v>
      </c>
      <c r="Q10" s="27">
        <f t="shared" si="3"/>
        <v>4</v>
      </c>
      <c r="R10" s="28">
        <f t="shared" si="4"/>
        <v>38</v>
      </c>
      <c r="S10" s="28">
        <f t="shared" si="5"/>
        <v>288</v>
      </c>
      <c r="T10" s="28">
        <f t="shared" si="6"/>
        <v>1040</v>
      </c>
      <c r="U10" s="28">
        <f t="shared" si="7"/>
        <v>3634</v>
      </c>
      <c r="V10" s="28">
        <f t="shared" si="8"/>
        <v>2627.8910997579997</v>
      </c>
      <c r="W10" s="29">
        <f t="shared" si="9"/>
        <v>1005.1089002420005</v>
      </c>
      <c r="X10" s="21">
        <v>1</v>
      </c>
      <c r="Z10" s="21" t="str">
        <f t="shared" si="10"/>
        <v>big gas home</v>
      </c>
      <c r="AA10" s="30">
        <v>1</v>
      </c>
      <c r="AB10" s="23">
        <f t="shared" si="13"/>
        <v>2.14960058097313</v>
      </c>
      <c r="AC10" s="23">
        <f t="shared" si="14"/>
        <v>0.99489109975799939</v>
      </c>
      <c r="AD10" s="23">
        <f t="shared" si="15"/>
        <v>1.044981512951751</v>
      </c>
      <c r="AE10" s="31" t="str">
        <f t="shared" si="11"/>
        <v>big gas home</v>
      </c>
      <c r="AF10" s="23">
        <f t="shared" si="16"/>
        <v>1.0051351351351352</v>
      </c>
      <c r="AG10" s="23">
        <f t="shared" si="17"/>
        <v>2.1606390704429921</v>
      </c>
      <c r="AH10" s="30">
        <v>1</v>
      </c>
      <c r="AI10" s="23">
        <f t="shared" si="18"/>
        <v>1.0503476342344762</v>
      </c>
    </row>
    <row r="11" spans="1:35" s="21" customFormat="1">
      <c r="A11" s="20"/>
      <c r="C11" s="21" t="s">
        <v>676</v>
      </c>
      <c r="D11" s="30">
        <v>6000</v>
      </c>
      <c r="E11" s="22">
        <f t="shared" si="0"/>
        <v>16.438356164383563</v>
      </c>
      <c r="F11" s="32">
        <v>5</v>
      </c>
      <c r="G11" s="23">
        <f t="shared" si="12"/>
        <v>0.68493150684931514</v>
      </c>
      <c r="H11" s="24">
        <f t="shared" si="1"/>
        <v>0.13698630136986303</v>
      </c>
      <c r="I11" s="30">
        <v>0</v>
      </c>
      <c r="J11" s="30">
        <f>J6*1.2</f>
        <v>2520</v>
      </c>
      <c r="K11" s="22">
        <f t="shared" ref="K11:K13" si="19">J11+D11</f>
        <v>8520</v>
      </c>
      <c r="L11" s="29">
        <f>L7*1.2</f>
        <v>885.6</v>
      </c>
      <c r="N11" s="26">
        <v>1.7012658227848101</v>
      </c>
      <c r="O11" s="26"/>
      <c r="P11" s="21" t="str">
        <f t="shared" si="2"/>
        <v>big solar home</v>
      </c>
      <c r="Q11" s="27">
        <f t="shared" si="3"/>
        <v>5</v>
      </c>
      <c r="R11" s="28">
        <f t="shared" si="4"/>
        <v>47.5</v>
      </c>
      <c r="S11" s="28">
        <f t="shared" si="5"/>
        <v>360</v>
      </c>
      <c r="T11" s="28">
        <f t="shared" si="6"/>
        <v>1300</v>
      </c>
      <c r="U11" s="28">
        <f t="shared" si="7"/>
        <v>4292.5</v>
      </c>
      <c r="V11" s="28">
        <f t="shared" si="8"/>
        <v>4291.5</v>
      </c>
      <c r="W11" s="29">
        <f t="shared" si="9"/>
        <v>0</v>
      </c>
      <c r="X11" s="21">
        <v>1</v>
      </c>
      <c r="Z11" s="21" t="str">
        <f t="shared" si="10"/>
        <v>big solar home</v>
      </c>
      <c r="AA11" s="30">
        <v>1</v>
      </c>
      <c r="AB11" s="23">
        <f t="shared" si="13"/>
        <v>2.6870007262164126</v>
      </c>
      <c r="AC11" s="23">
        <f t="shared" si="14"/>
        <v>1.1938693197095993</v>
      </c>
      <c r="AD11" s="23">
        <f t="shared" si="15"/>
        <v>1.5696081689802208</v>
      </c>
      <c r="AE11" s="31" t="str">
        <f t="shared" si="11"/>
        <v>big solar home</v>
      </c>
      <c r="AF11" s="23">
        <f t="shared" si="16"/>
        <v>0.83761261261261266</v>
      </c>
      <c r="AG11" s="23">
        <f t="shared" si="17"/>
        <v>2.2506656983781168</v>
      </c>
      <c r="AH11" s="30">
        <v>1</v>
      </c>
      <c r="AI11" s="23">
        <f t="shared" si="18"/>
        <v>1.3147235991976221</v>
      </c>
    </row>
    <row r="12" spans="1:35" s="21" customFormat="1">
      <c r="A12" s="20"/>
      <c r="C12" s="21" t="s">
        <v>677</v>
      </c>
      <c r="D12" s="30">
        <v>12000</v>
      </c>
      <c r="E12" s="22">
        <f t="shared" si="0"/>
        <v>32.876712328767127</v>
      </c>
      <c r="F12" s="32">
        <v>5</v>
      </c>
      <c r="G12" s="23">
        <f t="shared" si="12"/>
        <v>1.3698630136986303</v>
      </c>
      <c r="H12" s="24">
        <f t="shared" si="1"/>
        <v>0.27397260273972607</v>
      </c>
      <c r="I12" s="22">
        <f>I9*1.2</f>
        <v>2010.2178004840009</v>
      </c>
      <c r="J12" s="22">
        <f>J9*1.2</f>
        <v>1208.1081081081081</v>
      </c>
      <c r="K12" s="22">
        <f t="shared" si="19"/>
        <v>13208.108108108108</v>
      </c>
      <c r="L12" s="21">
        <f>L9*1.2</f>
        <v>2160</v>
      </c>
      <c r="N12" s="26">
        <v>2.8325458388501059</v>
      </c>
      <c r="O12" s="26"/>
      <c r="P12" s="21" t="str">
        <f t="shared" si="2"/>
        <v>big electric home</v>
      </c>
      <c r="Q12" s="27">
        <f t="shared" si="3"/>
        <v>5</v>
      </c>
      <c r="R12" s="28">
        <f t="shared" si="4"/>
        <v>47.5</v>
      </c>
      <c r="S12" s="28">
        <f t="shared" si="5"/>
        <v>360</v>
      </c>
      <c r="T12" s="28">
        <f t="shared" si="6"/>
        <v>1300</v>
      </c>
      <c r="U12" s="28">
        <f t="shared" si="7"/>
        <v>10292.5</v>
      </c>
      <c r="V12" s="28">
        <f t="shared" si="8"/>
        <v>8281.2821995159993</v>
      </c>
      <c r="W12" s="29">
        <f t="shared" si="9"/>
        <v>2010.2178004840009</v>
      </c>
      <c r="X12" s="21">
        <v>1</v>
      </c>
      <c r="Z12" s="21" t="str">
        <f t="shared" si="10"/>
        <v>big electric home</v>
      </c>
      <c r="AA12" s="30">
        <v>1</v>
      </c>
      <c r="AB12" s="23">
        <f t="shared" si="13"/>
        <v>2.6870007262164126</v>
      </c>
      <c r="AC12" s="23">
        <f t="shared" si="14"/>
        <v>2.3877386394191986</v>
      </c>
      <c r="AD12" s="23">
        <f t="shared" si="15"/>
        <v>2.6135146088555645</v>
      </c>
      <c r="AE12" s="31" t="str">
        <f t="shared" si="11"/>
        <v>big electric home</v>
      </c>
      <c r="AF12" s="23">
        <f t="shared" si="16"/>
        <v>0.41880630630630633</v>
      </c>
      <c r="AG12" s="23">
        <f t="shared" si="17"/>
        <v>1.1253328491890584</v>
      </c>
      <c r="AH12" s="30">
        <v>1</v>
      </c>
      <c r="AI12" s="23">
        <f t="shared" si="18"/>
        <v>1.09455639981237</v>
      </c>
    </row>
    <row r="13" spans="1:35" s="21" customFormat="1" ht="27.95">
      <c r="A13" s="20"/>
      <c r="C13" s="33" t="s">
        <v>678</v>
      </c>
      <c r="D13" s="30">
        <v>14000</v>
      </c>
      <c r="E13" s="22">
        <f t="shared" si="0"/>
        <v>38.356164383561641</v>
      </c>
      <c r="F13" s="32">
        <v>3</v>
      </c>
      <c r="G13" s="23">
        <f t="shared" si="12"/>
        <v>1.598173515981735</v>
      </c>
      <c r="H13" s="24">
        <f t="shared" si="1"/>
        <v>0.53272450532724502</v>
      </c>
      <c r="I13" s="30">
        <v>0</v>
      </c>
      <c r="J13" s="22">
        <f>J6*1.2</f>
        <v>2520</v>
      </c>
      <c r="K13" s="22">
        <f t="shared" si="19"/>
        <v>16520</v>
      </c>
      <c r="L13" s="21">
        <f>L12</f>
        <v>2160</v>
      </c>
      <c r="N13" s="26">
        <v>3.9696202531645568</v>
      </c>
      <c r="O13" s="26"/>
      <c r="P13" s="21" t="str">
        <f t="shared" si="2"/>
        <v>Efficient Electrify Everything home (based on big home, EV, with solar, no battery)</v>
      </c>
      <c r="Q13" s="27">
        <f t="shared" si="3"/>
        <v>3</v>
      </c>
      <c r="R13" s="28">
        <f t="shared" si="4"/>
        <v>28.499999999999996</v>
      </c>
      <c r="S13" s="28">
        <f t="shared" si="5"/>
        <v>216.00000000000003</v>
      </c>
      <c r="T13" s="28">
        <f t="shared" si="6"/>
        <v>780.00000000000011</v>
      </c>
      <c r="U13" s="28">
        <f t="shared" si="7"/>
        <v>12975.5</v>
      </c>
      <c r="V13" s="28">
        <f t="shared" si="8"/>
        <v>11475.5</v>
      </c>
      <c r="W13" s="29">
        <f t="shared" si="9"/>
        <v>0</v>
      </c>
      <c r="X13" s="21">
        <v>1500</v>
      </c>
      <c r="Z13" s="21" t="str">
        <f t="shared" si="10"/>
        <v>Efficient Electrify Everything home (based on big home, EV, with solar, no battery)</v>
      </c>
      <c r="AA13" s="30">
        <v>1</v>
      </c>
      <c r="AB13" s="23">
        <f t="shared" si="13"/>
        <v>1.6122004357298476</v>
      </c>
      <c r="AC13" s="23">
        <f t="shared" si="14"/>
        <v>2.7856950793223985</v>
      </c>
      <c r="AD13" s="23">
        <f t="shared" si="15"/>
        <v>3.2705621123941926</v>
      </c>
      <c r="AE13" s="31" t="str">
        <f t="shared" si="11"/>
        <v>Efficient Electrify Everything home (based on big home, EV, with solar, no battery)</v>
      </c>
      <c r="AF13" s="23">
        <f t="shared" si="16"/>
        <v>0.358976833976834</v>
      </c>
      <c r="AG13" s="23">
        <f t="shared" si="17"/>
        <v>0.57874260815437295</v>
      </c>
      <c r="AH13" s="30">
        <v>1</v>
      </c>
      <c r="AI13" s="23">
        <f t="shared" si="18"/>
        <v>1.1740560324318534</v>
      </c>
    </row>
    <row r="14" spans="1:35" ht="27.95">
      <c r="C14" s="33" t="s">
        <v>679</v>
      </c>
      <c r="D14" s="22">
        <v>8000</v>
      </c>
      <c r="E14" s="22">
        <f t="shared" si="0"/>
        <v>21.917808219178081</v>
      </c>
      <c r="F14" s="32">
        <v>0.5</v>
      </c>
      <c r="G14" s="23">
        <f t="shared" si="12"/>
        <v>0.91324200913242004</v>
      </c>
      <c r="H14" s="24">
        <f t="shared" si="1"/>
        <v>1.8264840182648401</v>
      </c>
      <c r="I14" s="16">
        <v>0</v>
      </c>
      <c r="J14" s="34">
        <f>K14-D14</f>
        <v>8520</v>
      </c>
      <c r="K14" s="34">
        <f>K13</f>
        <v>16520</v>
      </c>
      <c r="L14" s="15">
        <v>8000</v>
      </c>
      <c r="N14" s="26">
        <v>2.2683544303797465</v>
      </c>
      <c r="O14" s="26"/>
      <c r="P14" s="21" t="str">
        <f t="shared" si="2"/>
        <v>Efficient Electrify Everything home with battery and load flex (reduced grid impact)</v>
      </c>
      <c r="Q14" s="27">
        <f t="shared" si="3"/>
        <v>0.5</v>
      </c>
      <c r="R14" s="28">
        <f t="shared" si="4"/>
        <v>4.75</v>
      </c>
      <c r="S14" s="28">
        <f t="shared" si="5"/>
        <v>36</v>
      </c>
      <c r="T14" s="28">
        <f t="shared" si="6"/>
        <v>130</v>
      </c>
      <c r="U14" s="28">
        <f t="shared" si="7"/>
        <v>7829.25</v>
      </c>
      <c r="V14" s="28">
        <f t="shared" si="8"/>
        <v>3829.25</v>
      </c>
      <c r="W14" s="29">
        <f t="shared" si="9"/>
        <v>0</v>
      </c>
      <c r="X14" s="15">
        <v>4000</v>
      </c>
      <c r="Z14" s="21" t="str">
        <f t="shared" si="10"/>
        <v>Efficient Electrify Everything home with battery and load flex (reduced grid impact)</v>
      </c>
      <c r="AA14" s="30">
        <v>1</v>
      </c>
      <c r="AB14" s="23">
        <f t="shared" si="13"/>
        <v>0.26870007262164125</v>
      </c>
      <c r="AC14" s="23">
        <f t="shared" si="14"/>
        <v>1.5918257596127992</v>
      </c>
      <c r="AD14" s="23">
        <f t="shared" si="15"/>
        <v>1.0465798759661415</v>
      </c>
      <c r="AE14" s="31" t="str">
        <f t="shared" si="11"/>
        <v>Efficient Electrify Everything home with battery and load flex (reduced grid impact)</v>
      </c>
      <c r="AF14" s="23">
        <f t="shared" si="16"/>
        <v>0.6282094594594595</v>
      </c>
      <c r="AG14" s="23">
        <f t="shared" si="17"/>
        <v>0.16879992737835875</v>
      </c>
      <c r="AH14" s="30">
        <v>1</v>
      </c>
      <c r="AI14" s="23">
        <f t="shared" si="18"/>
        <v>0.65747137816183787</v>
      </c>
    </row>
    <row r="15" spans="1:35">
      <c r="E15" s="22"/>
    </row>
    <row r="16" spans="1:35">
      <c r="E16" s="22"/>
      <c r="G16" s="16" t="s">
        <v>598</v>
      </c>
    </row>
    <row r="17" spans="3:16">
      <c r="C17" s="17" t="s">
        <v>686</v>
      </c>
    </row>
    <row r="18" spans="3:16">
      <c r="C18" s="15" t="s">
        <v>687</v>
      </c>
      <c r="D18" s="35">
        <v>818000</v>
      </c>
      <c r="N18" s="16"/>
      <c r="O18" s="16"/>
      <c r="P18" s="16"/>
    </row>
    <row r="19" spans="3:16">
      <c r="C19" s="15" t="s">
        <v>688</v>
      </c>
      <c r="D19" s="35">
        <v>740000</v>
      </c>
      <c r="N19" s="16"/>
      <c r="O19" s="16"/>
      <c r="P19" s="16"/>
    </row>
    <row r="20" spans="3:16" ht="30.95">
      <c r="D20" s="19" t="s">
        <v>639</v>
      </c>
      <c r="E20" s="19"/>
      <c r="F20" s="19" t="s">
        <v>209</v>
      </c>
      <c r="G20" s="19"/>
      <c r="N20" s="16"/>
      <c r="O20" s="16"/>
      <c r="P20" s="16"/>
    </row>
    <row r="21" spans="3:16">
      <c r="C21" s="15" t="s">
        <v>689</v>
      </c>
      <c r="D21" s="16">
        <v>3719</v>
      </c>
      <c r="E21" s="36" t="s">
        <v>142</v>
      </c>
      <c r="N21" s="16"/>
      <c r="O21" s="16"/>
      <c r="P21" s="16"/>
    </row>
    <row r="22" spans="3:16" ht="21">
      <c r="C22" s="15" t="s">
        <v>690</v>
      </c>
      <c r="D22" s="37">
        <f>(D21-D24)*0.1161</f>
        <v>328.44689999999997</v>
      </c>
      <c r="E22" s="36" t="s">
        <v>142</v>
      </c>
      <c r="H22" s="19" t="s">
        <v>691</v>
      </c>
      <c r="N22" s="16"/>
      <c r="O22" s="16"/>
      <c r="P22" s="16"/>
    </row>
    <row r="23" spans="3:16">
      <c r="C23" s="15" t="s">
        <v>692</v>
      </c>
      <c r="D23" s="38">
        <f>D21-D24+D22</f>
        <v>3157.4468999999999</v>
      </c>
      <c r="E23" s="36" t="s">
        <v>142</v>
      </c>
      <c r="F23" s="39">
        <v>1377</v>
      </c>
      <c r="G23" s="36" t="s">
        <v>146</v>
      </c>
      <c r="H23" s="40">
        <f>D23/8.76/F23</f>
        <v>0.26175682195760092</v>
      </c>
      <c r="N23" s="16"/>
      <c r="O23" s="16"/>
      <c r="P23" s="16"/>
    </row>
    <row r="24" spans="3:16" ht="21">
      <c r="C24" s="15" t="s">
        <v>693</v>
      </c>
      <c r="D24" s="16">
        <v>890</v>
      </c>
      <c r="E24" s="36" t="s">
        <v>142</v>
      </c>
      <c r="H24" s="19" t="s">
        <v>211</v>
      </c>
      <c r="N24" s="16"/>
      <c r="O24" s="16"/>
      <c r="P24" s="16"/>
    </row>
    <row r="25" spans="3:16">
      <c r="C25" s="15" t="s">
        <v>694</v>
      </c>
      <c r="D25" s="16">
        <v>745</v>
      </c>
      <c r="E25" s="36" t="s">
        <v>142</v>
      </c>
      <c r="H25" s="19"/>
      <c r="N25" s="16"/>
      <c r="O25" s="16"/>
      <c r="P25" s="16"/>
    </row>
    <row r="26" spans="3:16">
      <c r="C26" s="15" t="s">
        <v>695</v>
      </c>
      <c r="D26" s="37">
        <f>D21/D19*1000000</f>
        <v>5025.6756756756758</v>
      </c>
      <c r="E26" s="36" t="s">
        <v>144</v>
      </c>
      <c r="F26" s="41">
        <f>F23/D19*1000</f>
        <v>1.8608108108108108</v>
      </c>
      <c r="H26" s="40">
        <f>D26/8760/F26</f>
        <v>0.30831036964083791</v>
      </c>
    </row>
    <row r="28" spans="3:16">
      <c r="C28" s="17" t="s">
        <v>696</v>
      </c>
    </row>
    <row r="29" spans="3:16">
      <c r="C29" s="15" t="s">
        <v>697</v>
      </c>
      <c r="D29" s="42">
        <v>438.5</v>
      </c>
      <c r="E29" s="36" t="s">
        <v>244</v>
      </c>
      <c r="F29" s="43">
        <f>D29/$D$19*1000000</f>
        <v>592.56756756756761</v>
      </c>
      <c r="G29" s="36" t="s">
        <v>698</v>
      </c>
      <c r="I29" s="44"/>
      <c r="J29" s="44"/>
      <c r="L29" s="45"/>
    </row>
    <row r="30" spans="3:16">
      <c r="C30" s="15" t="s">
        <v>699</v>
      </c>
      <c r="D30" s="39">
        <v>144</v>
      </c>
      <c r="E30" s="36" t="s">
        <v>244</v>
      </c>
      <c r="F30" s="43">
        <v>180</v>
      </c>
      <c r="G30" s="36" t="s">
        <v>698</v>
      </c>
      <c r="I30" s="46">
        <f>D30-F30*D19/1000000</f>
        <v>10.800000000000011</v>
      </c>
      <c r="J30" s="47" t="s">
        <v>700</v>
      </c>
      <c r="L30" s="47"/>
    </row>
    <row r="31" spans="3:16">
      <c r="C31" s="15" t="s">
        <v>701</v>
      </c>
      <c r="D31" s="39">
        <v>498</v>
      </c>
      <c r="E31" s="36" t="s">
        <v>244</v>
      </c>
      <c r="F31" s="43">
        <f t="shared" ref="F31:F33" si="20">D31/$D$19*1000000</f>
        <v>672.97297297297303</v>
      </c>
      <c r="G31" s="36" t="s">
        <v>698</v>
      </c>
    </row>
    <row r="32" spans="3:16">
      <c r="C32" s="15" t="s">
        <v>702</v>
      </c>
      <c r="D32" s="39">
        <v>149</v>
      </c>
      <c r="E32" s="36" t="s">
        <v>244</v>
      </c>
      <c r="F32" s="43">
        <f t="shared" si="20"/>
        <v>201.35135135135135</v>
      </c>
      <c r="G32" s="36" t="s">
        <v>698</v>
      </c>
    </row>
    <row r="33" spans="3:7">
      <c r="C33" s="15" t="s">
        <v>703</v>
      </c>
      <c r="D33" s="39">
        <v>112</v>
      </c>
      <c r="E33" s="36" t="s">
        <v>244</v>
      </c>
      <c r="F33" s="43">
        <f t="shared" si="20"/>
        <v>151.35135135135135</v>
      </c>
      <c r="G33" s="36" t="s">
        <v>698</v>
      </c>
    </row>
    <row r="34" spans="3:7">
      <c r="C34" s="15" t="s">
        <v>704</v>
      </c>
      <c r="D34" s="37">
        <f>D24*20/1000</f>
        <v>17.8</v>
      </c>
      <c r="E34" s="36" t="s">
        <v>244</v>
      </c>
      <c r="F34" s="43">
        <f>D34/$D$19*1000000</f>
        <v>24.054054054054056</v>
      </c>
      <c r="G34" s="36" t="s">
        <v>698</v>
      </c>
    </row>
    <row r="35" spans="3:7">
      <c r="C35" s="48" t="s">
        <v>705</v>
      </c>
      <c r="D35" s="49">
        <f>SUM(D29:D34)</f>
        <v>1359.3</v>
      </c>
      <c r="E35" s="50" t="s">
        <v>244</v>
      </c>
      <c r="F35" s="51">
        <f>SUM(F29:F34)</f>
        <v>1822.2972972972973</v>
      </c>
      <c r="G35" s="36" t="s">
        <v>706</v>
      </c>
    </row>
    <row r="36" spans="3:7">
      <c r="C36" s="39" t="s">
        <v>707</v>
      </c>
      <c r="D36" s="37">
        <f>D35/D21*1000</f>
        <v>365.50147889217533</v>
      </c>
      <c r="E36" s="36" t="s">
        <v>132</v>
      </c>
      <c r="F36" s="43">
        <f>D36*D26/1000</f>
        <v>1836.8918918918921</v>
      </c>
      <c r="G36" s="36" t="s">
        <v>698</v>
      </c>
    </row>
  </sheetData>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EC558-B186-444A-B31D-DD01BEB20B5A}">
  <dimension ref="A1:Y99"/>
  <sheetViews>
    <sheetView topLeftCell="A58" workbookViewId="0">
      <selection activeCell="C82" sqref="C82"/>
    </sheetView>
  </sheetViews>
  <sheetFormatPr defaultColWidth="8.7109375" defaultRowHeight="14.1"/>
  <cols>
    <col min="1" max="1" width="3.7109375" style="3" customWidth="1"/>
    <col min="2" max="16384" width="8.7109375" style="4"/>
  </cols>
  <sheetData>
    <row r="1" spans="2:25" s="3" customFormat="1"/>
    <row r="2" spans="2:25">
      <c r="B2" s="4" t="s">
        <v>4</v>
      </c>
      <c r="P2" s="5"/>
      <c r="U2" s="6" t="s">
        <v>5</v>
      </c>
      <c r="Y2" s="6" t="s">
        <v>6</v>
      </c>
    </row>
    <row r="3" spans="2:25">
      <c r="B3" s="4" t="s">
        <v>7</v>
      </c>
      <c r="P3" s="5"/>
      <c r="U3" s="6" t="s">
        <v>8</v>
      </c>
    </row>
    <row r="4" spans="2:25">
      <c r="B4" s="4" t="s">
        <v>9</v>
      </c>
      <c r="P4" s="5"/>
    </row>
    <row r="5" spans="2:25">
      <c r="B5" s="4" t="s">
        <v>10</v>
      </c>
      <c r="P5" s="5"/>
      <c r="U5" s="6" t="s">
        <v>11</v>
      </c>
    </row>
    <row r="6" spans="2:25">
      <c r="B6" s="4" t="s">
        <v>12</v>
      </c>
      <c r="P6" s="5"/>
      <c r="U6" s="6" t="s">
        <v>13</v>
      </c>
    </row>
    <row r="7" spans="2:25">
      <c r="B7" s="4" t="s">
        <v>14</v>
      </c>
      <c r="P7" s="5"/>
      <c r="U7" s="6" t="s">
        <v>15</v>
      </c>
    </row>
    <row r="8" spans="2:25">
      <c r="B8" s="4" t="s">
        <v>16</v>
      </c>
      <c r="P8" s="5"/>
      <c r="U8" s="6" t="s">
        <v>17</v>
      </c>
    </row>
    <row r="9" spans="2:25">
      <c r="P9" s="5"/>
      <c r="U9" s="6"/>
    </row>
    <row r="10" spans="2:25">
      <c r="B10" s="7" t="s">
        <v>18</v>
      </c>
      <c r="P10" s="5"/>
    </row>
    <row r="11" spans="2:25">
      <c r="B11" s="4" t="s">
        <v>19</v>
      </c>
      <c r="M11" s="6" t="s">
        <v>20</v>
      </c>
      <c r="P11" s="5"/>
    </row>
    <row r="12" spans="2:25">
      <c r="B12" s="4" t="s">
        <v>21</v>
      </c>
      <c r="P12" s="5"/>
    </row>
    <row r="13" spans="2:25">
      <c r="B13" s="4" t="s">
        <v>22</v>
      </c>
      <c r="M13" s="6" t="s">
        <v>23</v>
      </c>
      <c r="O13" s="4" t="s">
        <v>24</v>
      </c>
      <c r="Q13" s="6" t="s">
        <v>25</v>
      </c>
    </row>
    <row r="14" spans="2:25" ht="14.45">
      <c r="B14" s="4" t="s">
        <v>26</v>
      </c>
      <c r="E14" s="4" t="s">
        <v>27</v>
      </c>
      <c r="K14" s="6" t="s">
        <v>28</v>
      </c>
      <c r="P14" s="5"/>
    </row>
    <row r="15" spans="2:25">
      <c r="B15" s="4" t="s">
        <v>29</v>
      </c>
      <c r="P15" s="5"/>
    </row>
    <row r="17" spans="2:4">
      <c r="B17" s="7" t="s">
        <v>30</v>
      </c>
    </row>
    <row r="18" spans="2:4">
      <c r="B18" s="4" t="s">
        <v>31</v>
      </c>
    </row>
    <row r="19" spans="2:4">
      <c r="B19" s="4" t="s">
        <v>32</v>
      </c>
    </row>
    <row r="20" spans="2:4">
      <c r="C20" s="4" t="s">
        <v>33</v>
      </c>
    </row>
    <row r="21" spans="2:4">
      <c r="C21" s="4" t="s">
        <v>34</v>
      </c>
    </row>
    <row r="22" spans="2:4">
      <c r="B22" s="4" t="s">
        <v>35</v>
      </c>
    </row>
    <row r="23" spans="2:4">
      <c r="C23" s="4" t="s">
        <v>36</v>
      </c>
    </row>
    <row r="24" spans="2:4">
      <c r="C24" s="4" t="s">
        <v>37</v>
      </c>
    </row>
    <row r="25" spans="2:4">
      <c r="D25" s="4" t="s">
        <v>38</v>
      </c>
    </row>
    <row r="26" spans="2:4">
      <c r="D26" s="4" t="s">
        <v>39</v>
      </c>
    </row>
    <row r="27" spans="2:4">
      <c r="D27" s="4" t="s">
        <v>40</v>
      </c>
    </row>
    <row r="28" spans="2:4">
      <c r="C28" s="4" t="s">
        <v>41</v>
      </c>
    </row>
    <row r="29" spans="2:4">
      <c r="D29" s="4" t="s">
        <v>42</v>
      </c>
    </row>
    <row r="30" spans="2:4">
      <c r="D30" s="4" t="s">
        <v>43</v>
      </c>
    </row>
    <row r="31" spans="2:4">
      <c r="D31" s="4" t="s">
        <v>44</v>
      </c>
    </row>
    <row r="32" spans="2:4">
      <c r="D32" s="4" t="s">
        <v>45</v>
      </c>
    </row>
    <row r="33" spans="2:14">
      <c r="B33" s="4" t="s">
        <v>46</v>
      </c>
    </row>
    <row r="34" spans="2:14">
      <c r="B34" s="4" t="s">
        <v>47</v>
      </c>
    </row>
    <row r="35" spans="2:14">
      <c r="B35" s="8" t="s">
        <v>48</v>
      </c>
    </row>
    <row r="36" spans="2:14">
      <c r="B36" s="8" t="s">
        <v>49</v>
      </c>
    </row>
    <row r="37" spans="2:14">
      <c r="B37" s="9" t="s">
        <v>50</v>
      </c>
    </row>
    <row r="38" spans="2:14">
      <c r="B38" s="9" t="s">
        <v>51</v>
      </c>
    </row>
    <row r="39" spans="2:14">
      <c r="B39" s="9" t="s">
        <v>52</v>
      </c>
    </row>
    <row r="40" spans="2:14">
      <c r="B40" s="9" t="s">
        <v>53</v>
      </c>
    </row>
    <row r="41" spans="2:14">
      <c r="B41" s="9" t="s">
        <v>54</v>
      </c>
    </row>
    <row r="42" spans="2:14">
      <c r="B42" s="4" t="s">
        <v>55</v>
      </c>
    </row>
    <row r="43" spans="2:14">
      <c r="B43" s="4" t="s">
        <v>56</v>
      </c>
    </row>
    <row r="44" spans="2:14">
      <c r="B44" s="4" t="s">
        <v>57</v>
      </c>
    </row>
    <row r="45" spans="2:14">
      <c r="B45" s="4" t="s">
        <v>58</v>
      </c>
    </row>
    <row r="46" spans="2:14">
      <c r="B46" s="4" t="s">
        <v>59</v>
      </c>
      <c r="N46" s="6" t="s">
        <v>60</v>
      </c>
    </row>
    <row r="47" spans="2:14">
      <c r="B47" s="8" t="s">
        <v>61</v>
      </c>
    </row>
    <row r="48" spans="2:14">
      <c r="B48" s="8" t="s">
        <v>62</v>
      </c>
    </row>
    <row r="49" spans="2:2">
      <c r="B49" s="4" t="s">
        <v>63</v>
      </c>
    </row>
    <row r="50" spans="2:2">
      <c r="B50" s="4" t="s">
        <v>64</v>
      </c>
    </row>
    <row r="51" spans="2:2">
      <c r="B51" s="4" t="s">
        <v>65</v>
      </c>
    </row>
    <row r="52" spans="2:2">
      <c r="B52" s="4" t="s">
        <v>66</v>
      </c>
    </row>
    <row r="53" spans="2:2">
      <c r="B53" s="4" t="s">
        <v>67</v>
      </c>
    </row>
    <row r="54" spans="2:2">
      <c r="B54" s="8" t="s">
        <v>68</v>
      </c>
    </row>
    <row r="55" spans="2:2">
      <c r="B55" s="8" t="s">
        <v>69</v>
      </c>
    </row>
    <row r="56" spans="2:2">
      <c r="B56" s="9" t="s">
        <v>70</v>
      </c>
    </row>
    <row r="57" spans="2:2">
      <c r="B57" s="4" t="s">
        <v>71</v>
      </c>
    </row>
    <row r="58" spans="2:2">
      <c r="B58" s="4" t="s">
        <v>72</v>
      </c>
    </row>
    <row r="59" spans="2:2">
      <c r="B59" s="8" t="s">
        <v>73</v>
      </c>
    </row>
    <row r="60" spans="2:2">
      <c r="B60" s="8" t="s">
        <v>74</v>
      </c>
    </row>
    <row r="61" spans="2:2">
      <c r="B61" s="8" t="s">
        <v>75</v>
      </c>
    </row>
    <row r="62" spans="2:2">
      <c r="B62" s="8" t="s">
        <v>76</v>
      </c>
    </row>
    <row r="63" spans="2:2">
      <c r="B63" s="9" t="s">
        <v>77</v>
      </c>
    </row>
    <row r="64" spans="2:2">
      <c r="B64" s="9" t="s">
        <v>78</v>
      </c>
    </row>
    <row r="65" spans="2:22">
      <c r="B65" s="9" t="s">
        <v>79</v>
      </c>
    </row>
    <row r="66" spans="2:22">
      <c r="B66" s="9" t="s">
        <v>80</v>
      </c>
    </row>
    <row r="67" spans="2:22">
      <c r="B67" s="8" t="s">
        <v>81</v>
      </c>
    </row>
    <row r="68" spans="2:22">
      <c r="B68" s="9" t="s">
        <v>82</v>
      </c>
    </row>
    <row r="69" spans="2:22">
      <c r="B69" s="9" t="s">
        <v>83</v>
      </c>
    </row>
    <row r="70" spans="2:22">
      <c r="B70" s="8"/>
    </row>
    <row r="71" spans="2:22">
      <c r="B71" s="7" t="s">
        <v>84</v>
      </c>
    </row>
    <row r="72" spans="2:22">
      <c r="B72" s="7"/>
      <c r="C72" s="4" t="s">
        <v>85</v>
      </c>
    </row>
    <row r="73" spans="2:22">
      <c r="B73" s="7"/>
      <c r="C73" s="4" t="s">
        <v>86</v>
      </c>
    </row>
    <row r="74" spans="2:22">
      <c r="B74" s="7"/>
      <c r="C74" s="4" t="s">
        <v>87</v>
      </c>
    </row>
    <row r="75" spans="2:22">
      <c r="B75" s="7"/>
      <c r="C75" s="4" t="s">
        <v>88</v>
      </c>
    </row>
    <row r="76" spans="2:22">
      <c r="B76" s="7"/>
      <c r="C76" s="4" t="s">
        <v>89</v>
      </c>
    </row>
    <row r="77" spans="2:22">
      <c r="B77" s="7"/>
      <c r="C77" s="4" t="s">
        <v>90</v>
      </c>
    </row>
    <row r="78" spans="2:22">
      <c r="C78" s="4" t="s">
        <v>91</v>
      </c>
    </row>
    <row r="79" spans="2:22">
      <c r="C79" s="4" t="s">
        <v>92</v>
      </c>
      <c r="V79" s="6"/>
    </row>
    <row r="80" spans="2:22">
      <c r="B80" s="7"/>
      <c r="C80" s="4" t="s">
        <v>93</v>
      </c>
    </row>
    <row r="81" spans="2:3">
      <c r="C81" s="4" t="s">
        <v>94</v>
      </c>
    </row>
    <row r="83" spans="2:3">
      <c r="B83" s="10"/>
      <c r="C83" s="8"/>
    </row>
    <row r="84" spans="2:3">
      <c r="C84" s="11"/>
    </row>
    <row r="85" spans="2:3">
      <c r="C85" s="11"/>
    </row>
    <row r="86" spans="2:3">
      <c r="B86" s="10"/>
      <c r="C86" s="8"/>
    </row>
    <row r="87" spans="2:3">
      <c r="C87" s="11"/>
    </row>
    <row r="88" spans="2:3">
      <c r="C88" s="11"/>
    </row>
    <row r="90" spans="2:3">
      <c r="C90" s="8"/>
    </row>
    <row r="91" spans="2:3">
      <c r="C91" s="8"/>
    </row>
    <row r="92" spans="2:3">
      <c r="C92" s="8"/>
    </row>
    <row r="94" spans="2:3">
      <c r="C94" s="8"/>
    </row>
    <row r="98" spans="3:3">
      <c r="C98" s="8"/>
    </row>
    <row r="99" spans="3:3">
      <c r="C99" s="8"/>
    </row>
  </sheetData>
  <hyperlinks>
    <hyperlink ref="M11" r:id="rId1" display="https://creativecommons.org/licenses/by-nc-sa/4.0/" xr:uid="{A63E19C7-5F8A-477C-B9A5-0E048776F361}"/>
    <hyperlink ref="M13" r:id="rId2" xr:uid="{7E065183-DC30-49D3-9100-4FB808ECA83C}"/>
    <hyperlink ref="Q13" r:id="rId3" xr:uid="{E049E50A-7157-44A4-91E7-C8B3C69DE68C}"/>
    <hyperlink ref="K14" r:id="rId4" xr:uid="{D361A7D9-CCED-4582-A357-DEA6F0D3362E}"/>
    <hyperlink ref="N46" r:id="rId5" xr:uid="{22E36E1D-FFDD-4F52-BCC7-8CBFE151F8D9}"/>
    <hyperlink ref="U3" r:id="rId6" xr:uid="{54CF908D-5244-4D0D-8A16-E1784B26EADC}"/>
    <hyperlink ref="U5" r:id="rId7" xr:uid="{6CC55437-E4ED-44E7-A8B2-A0503C9DFC75}"/>
    <hyperlink ref="U6" r:id="rId8" xr:uid="{545BAE7D-7251-4DC8-874E-1B65C8B20515}"/>
    <hyperlink ref="U2" r:id="rId9" xr:uid="{E058CB0D-0D21-4D76-8B6F-8BF64B4B0A36}"/>
    <hyperlink ref="U7" r:id="rId10" xr:uid="{6E54CC02-A65D-4E5F-B8AB-72EF9B169019}"/>
    <hyperlink ref="Y2" r:id="rId11" xr:uid="{048EE59C-38B0-4C1B-9E14-5CB25D82A109}"/>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AA3CA8-D6FE-4B16-926F-2FA4E683B785}">
  <sheetPr>
    <tabColor theme="5"/>
  </sheetPr>
  <dimension ref="A1:V108"/>
  <sheetViews>
    <sheetView topLeftCell="A44" workbookViewId="0">
      <selection activeCell="B50" sqref="B50:E60"/>
    </sheetView>
  </sheetViews>
  <sheetFormatPr defaultColWidth="8.7109375" defaultRowHeight="14.1"/>
  <cols>
    <col min="1" max="1" width="4.5703125" style="3" customWidth="1"/>
    <col min="2" max="16384" width="8.7109375" style="4"/>
  </cols>
  <sheetData>
    <row r="1" spans="2:22" s="3" customFormat="1"/>
    <row r="2" spans="2:22">
      <c r="B2" s="8"/>
    </row>
    <row r="3" spans="2:22">
      <c r="B3" s="7" t="s">
        <v>95</v>
      </c>
    </row>
    <row r="4" spans="2:22" ht="14.45">
      <c r="B4" s="7"/>
      <c r="C4" s="52" t="s">
        <v>96</v>
      </c>
    </row>
    <row r="5" spans="2:22" ht="14.45">
      <c r="B5" s="7"/>
      <c r="C5" s="52" t="s">
        <v>97</v>
      </c>
    </row>
    <row r="6" spans="2:22" ht="14.45">
      <c r="B6" s="7"/>
      <c r="C6" s="52" t="s">
        <v>98</v>
      </c>
    </row>
    <row r="7" spans="2:22">
      <c r="B7" s="7">
        <v>1</v>
      </c>
      <c r="C7" s="4" t="s">
        <v>99</v>
      </c>
    </row>
    <row r="8" spans="2:22">
      <c r="B8" s="7">
        <v>2</v>
      </c>
      <c r="C8" s="4" t="s">
        <v>100</v>
      </c>
    </row>
    <row r="9" spans="2:22">
      <c r="B9" s="7">
        <v>3</v>
      </c>
      <c r="C9" s="4" t="s">
        <v>101</v>
      </c>
    </row>
    <row r="10" spans="2:22">
      <c r="B10" s="7"/>
    </row>
    <row r="11" spans="2:22">
      <c r="B11" s="7"/>
      <c r="C11" s="4" t="s">
        <v>102</v>
      </c>
    </row>
    <row r="12" spans="2:22">
      <c r="B12" s="7"/>
    </row>
    <row r="13" spans="2:22">
      <c r="B13" s="7" t="s">
        <v>103</v>
      </c>
    </row>
    <row r="14" spans="2:22">
      <c r="B14" s="381"/>
      <c r="V14" s="6"/>
    </row>
    <row r="15" spans="2:22" ht="14.45">
      <c r="B15" s="380" t="s">
        <v>104</v>
      </c>
      <c r="C15" s="4" t="s">
        <v>105</v>
      </c>
    </row>
    <row r="16" spans="2:22">
      <c r="B16" s="381"/>
      <c r="C16" s="8" t="s">
        <v>106</v>
      </c>
    </row>
    <row r="17" spans="2:18">
      <c r="B17" s="381"/>
      <c r="C17" s="8" t="s">
        <v>107</v>
      </c>
    </row>
    <row r="18" spans="2:18" ht="14.45">
      <c r="B18" s="380" t="s">
        <v>108</v>
      </c>
      <c r="C18" s="4" t="s">
        <v>109</v>
      </c>
    </row>
    <row r="19" spans="2:18">
      <c r="B19" s="381"/>
      <c r="C19" s="8" t="s">
        <v>110</v>
      </c>
    </row>
    <row r="20" spans="2:18" ht="14.45">
      <c r="B20" s="380" t="s">
        <v>111</v>
      </c>
      <c r="C20" s="9" t="s">
        <v>112</v>
      </c>
    </row>
    <row r="21" spans="2:18" ht="14.45">
      <c r="B21" s="380" t="s">
        <v>113</v>
      </c>
      <c r="C21" s="9" t="s">
        <v>114</v>
      </c>
    </row>
    <row r="22" spans="2:18" ht="14.45">
      <c r="B22" s="380" t="s">
        <v>115</v>
      </c>
      <c r="C22" s="9" t="s">
        <v>116</v>
      </c>
    </row>
    <row r="23" spans="2:18" ht="14.45">
      <c r="B23" s="380" t="s">
        <v>117</v>
      </c>
      <c r="C23" s="4" t="s">
        <v>118</v>
      </c>
    </row>
    <row r="24" spans="2:18" ht="14.45">
      <c r="B24" s="380" t="s">
        <v>119</v>
      </c>
      <c r="C24" s="9" t="s">
        <v>120</v>
      </c>
    </row>
    <row r="25" spans="2:18" ht="14.45">
      <c r="B25" s="380"/>
      <c r="C25" s="9"/>
    </row>
    <row r="26" spans="2:18" ht="14.45">
      <c r="B26" s="380"/>
      <c r="C26" s="9"/>
    </row>
    <row r="27" spans="2:18" ht="14.45">
      <c r="B27" s="380"/>
      <c r="C27" s="9"/>
    </row>
    <row r="28" spans="2:18">
      <c r="B28" s="381"/>
    </row>
    <row r="29" spans="2:18">
      <c r="B29" s="7" t="s">
        <v>121</v>
      </c>
      <c r="C29" s="8"/>
    </row>
    <row r="30" spans="2:18" ht="14.45">
      <c r="B30" s="4" t="s">
        <v>4</v>
      </c>
      <c r="P30" s="5"/>
      <c r="R30" s="413" t="s">
        <v>122</v>
      </c>
    </row>
    <row r="31" spans="2:18">
      <c r="B31" s="4" t="s">
        <v>7</v>
      </c>
      <c r="P31" s="5"/>
    </row>
    <row r="32" spans="2:18">
      <c r="B32" s="4" t="s">
        <v>9</v>
      </c>
      <c r="P32" s="5"/>
    </row>
    <row r="33" spans="2:17">
      <c r="B33" s="4" t="s">
        <v>10</v>
      </c>
      <c r="P33" s="5"/>
    </row>
    <row r="34" spans="2:17">
      <c r="B34" s="4" t="s">
        <v>12</v>
      </c>
      <c r="P34" s="5"/>
    </row>
    <row r="35" spans="2:17">
      <c r="B35" s="4" t="s">
        <v>14</v>
      </c>
      <c r="P35" s="5"/>
    </row>
    <row r="36" spans="2:17">
      <c r="B36" s="4" t="s">
        <v>123</v>
      </c>
      <c r="P36" s="5"/>
    </row>
    <row r="37" spans="2:17">
      <c r="P37" s="5"/>
    </row>
    <row r="38" spans="2:17">
      <c r="B38" s="7" t="s">
        <v>18</v>
      </c>
      <c r="P38" s="5"/>
    </row>
    <row r="39" spans="2:17">
      <c r="B39" s="4" t="s">
        <v>19</v>
      </c>
      <c r="M39" s="6" t="s">
        <v>20</v>
      </c>
      <c r="P39" s="5"/>
    </row>
    <row r="40" spans="2:17">
      <c r="B40" s="4" t="s">
        <v>21</v>
      </c>
      <c r="P40" s="5"/>
    </row>
    <row r="41" spans="2:17">
      <c r="B41" s="4" t="s">
        <v>22</v>
      </c>
      <c r="M41" s="6" t="s">
        <v>23</v>
      </c>
      <c r="O41" s="4" t="s">
        <v>24</v>
      </c>
      <c r="Q41" s="6" t="s">
        <v>25</v>
      </c>
    </row>
    <row r="42" spans="2:17" ht="14.45">
      <c r="B42" s="4" t="s">
        <v>26</v>
      </c>
      <c r="E42" s="4" t="s">
        <v>124</v>
      </c>
      <c r="K42" s="6" t="s">
        <v>28</v>
      </c>
      <c r="P42" s="5"/>
    </row>
    <row r="43" spans="2:17">
      <c r="B43" s="4" t="s">
        <v>29</v>
      </c>
      <c r="P43" s="5"/>
    </row>
    <row r="45" spans="2:17">
      <c r="B45" s="7" t="s">
        <v>125</v>
      </c>
    </row>
    <row r="46" spans="2:17">
      <c r="B46" s="4" t="s">
        <v>31</v>
      </c>
    </row>
    <row r="47" spans="2:17">
      <c r="B47" s="4" t="s">
        <v>32</v>
      </c>
    </row>
    <row r="48" spans="2:17">
      <c r="C48" s="4" t="s">
        <v>33</v>
      </c>
    </row>
    <row r="49" spans="2:4">
      <c r="C49" s="4" t="s">
        <v>34</v>
      </c>
    </row>
    <row r="50" spans="2:4">
      <c r="B50" s="4" t="s">
        <v>35</v>
      </c>
    </row>
    <row r="51" spans="2:4">
      <c r="C51" s="4" t="s">
        <v>36</v>
      </c>
    </row>
    <row r="52" spans="2:4">
      <c r="C52" s="4" t="s">
        <v>37</v>
      </c>
    </row>
    <row r="53" spans="2:4">
      <c r="D53" s="4" t="s">
        <v>38</v>
      </c>
    </row>
    <row r="54" spans="2:4">
      <c r="D54" s="4" t="s">
        <v>39</v>
      </c>
    </row>
    <row r="55" spans="2:4">
      <c r="D55" s="4" t="s">
        <v>40</v>
      </c>
    </row>
    <row r="56" spans="2:4">
      <c r="C56" s="4" t="s">
        <v>41</v>
      </c>
    </row>
    <row r="57" spans="2:4">
      <c r="D57" s="4" t="s">
        <v>42</v>
      </c>
    </row>
    <row r="58" spans="2:4">
      <c r="D58" s="4" t="s">
        <v>43</v>
      </c>
    </row>
    <row r="59" spans="2:4">
      <c r="D59" s="4" t="s">
        <v>44</v>
      </c>
    </row>
    <row r="60" spans="2:4">
      <c r="D60" s="4" t="s">
        <v>45</v>
      </c>
    </row>
    <row r="61" spans="2:4">
      <c r="B61" s="4" t="s">
        <v>46</v>
      </c>
    </row>
    <row r="62" spans="2:4">
      <c r="B62" s="4" t="s">
        <v>47</v>
      </c>
    </row>
    <row r="63" spans="2:4">
      <c r="B63" s="8" t="s">
        <v>48</v>
      </c>
    </row>
    <row r="64" spans="2:4">
      <c r="B64" s="8" t="s">
        <v>49</v>
      </c>
    </row>
    <row r="65" spans="2:14">
      <c r="B65" s="9" t="s">
        <v>50</v>
      </c>
    </row>
    <row r="66" spans="2:14">
      <c r="B66" s="9" t="s">
        <v>51</v>
      </c>
    </row>
    <row r="67" spans="2:14">
      <c r="B67" s="9" t="s">
        <v>52</v>
      </c>
    </row>
    <row r="68" spans="2:14">
      <c r="B68" s="9" t="s">
        <v>53</v>
      </c>
    </row>
    <row r="69" spans="2:14">
      <c r="B69" s="9" t="s">
        <v>54</v>
      </c>
    </row>
    <row r="70" spans="2:14">
      <c r="B70" s="4" t="s">
        <v>55</v>
      </c>
    </row>
    <row r="71" spans="2:14">
      <c r="B71" s="4" t="s">
        <v>56</v>
      </c>
    </row>
    <row r="72" spans="2:14">
      <c r="B72" s="4" t="s">
        <v>57</v>
      </c>
    </row>
    <row r="73" spans="2:14">
      <c r="B73" s="4" t="s">
        <v>58</v>
      </c>
    </row>
    <row r="74" spans="2:14">
      <c r="B74" s="4" t="s">
        <v>59</v>
      </c>
      <c r="N74" s="6" t="s">
        <v>60</v>
      </c>
    </row>
    <row r="75" spans="2:14">
      <c r="B75" s="8" t="s">
        <v>61</v>
      </c>
    </row>
    <row r="76" spans="2:14">
      <c r="B76" s="8" t="s">
        <v>62</v>
      </c>
    </row>
    <row r="77" spans="2:14">
      <c r="B77" s="4" t="s">
        <v>63</v>
      </c>
    </row>
    <row r="78" spans="2:14">
      <c r="B78" s="4" t="s">
        <v>64</v>
      </c>
    </row>
    <row r="79" spans="2:14">
      <c r="B79" s="4" t="s">
        <v>65</v>
      </c>
    </row>
    <row r="80" spans="2:14">
      <c r="B80" s="4" t="s">
        <v>66</v>
      </c>
    </row>
    <row r="81" spans="2:2">
      <c r="B81" s="4" t="s">
        <v>67</v>
      </c>
    </row>
    <row r="82" spans="2:2">
      <c r="B82" s="8" t="s">
        <v>68</v>
      </c>
    </row>
    <row r="83" spans="2:2">
      <c r="B83" s="8" t="s">
        <v>69</v>
      </c>
    </row>
    <row r="84" spans="2:2">
      <c r="B84" s="9" t="s">
        <v>70</v>
      </c>
    </row>
    <row r="85" spans="2:2">
      <c r="B85" s="4" t="s">
        <v>71</v>
      </c>
    </row>
    <row r="86" spans="2:2">
      <c r="B86" s="4" t="s">
        <v>72</v>
      </c>
    </row>
    <row r="87" spans="2:2">
      <c r="B87" s="8" t="s">
        <v>73</v>
      </c>
    </row>
    <row r="88" spans="2:2">
      <c r="B88" s="8" t="s">
        <v>74</v>
      </c>
    </row>
    <row r="89" spans="2:2">
      <c r="B89" s="8" t="s">
        <v>75</v>
      </c>
    </row>
    <row r="90" spans="2:2">
      <c r="B90" s="8" t="s">
        <v>76</v>
      </c>
    </row>
    <row r="91" spans="2:2">
      <c r="B91" s="9" t="s">
        <v>77</v>
      </c>
    </row>
    <row r="92" spans="2:2">
      <c r="B92" s="9" t="s">
        <v>78</v>
      </c>
    </row>
    <row r="93" spans="2:2">
      <c r="B93" s="9" t="s">
        <v>79</v>
      </c>
    </row>
    <row r="94" spans="2:2">
      <c r="B94" s="9" t="s">
        <v>80</v>
      </c>
    </row>
    <row r="95" spans="2:2">
      <c r="B95" s="8" t="s">
        <v>81</v>
      </c>
    </row>
    <row r="96" spans="2:2">
      <c r="B96" s="9" t="s">
        <v>82</v>
      </c>
    </row>
    <row r="97" spans="2:2">
      <c r="B97" s="9" t="s">
        <v>83</v>
      </c>
    </row>
    <row r="98" spans="2:2">
      <c r="B98" s="8"/>
    </row>
    <row r="99" spans="2:2">
      <c r="B99" s="7"/>
    </row>
    <row r="100" spans="2:2">
      <c r="B100" s="7"/>
    </row>
    <row r="101" spans="2:2">
      <c r="B101" s="7"/>
    </row>
    <row r="102" spans="2:2">
      <c r="B102" s="7"/>
    </row>
    <row r="103" spans="2:2">
      <c r="B103" s="7"/>
    </row>
    <row r="104" spans="2:2">
      <c r="B104" s="7"/>
    </row>
    <row r="105" spans="2:2">
      <c r="B105" s="7"/>
    </row>
    <row r="108" spans="2:2">
      <c r="B108" s="7"/>
    </row>
  </sheetData>
  <phoneticPr fontId="48" type="noConversion"/>
  <hyperlinks>
    <hyperlink ref="B15" location="'1. Choose State'!A1" display="Step 1" xr:uid="{8006A63F-C3AA-4B6C-92C0-A942A75ED59F}"/>
    <hyperlink ref="B18" location="'2. Check Reference Home'!A1" display="Step 2" xr:uid="{294478AC-BB13-417F-8D16-B5865DCC44DC}"/>
    <hyperlink ref="B20" location="'3. Charges'!A1" display="Step 3" xr:uid="{1871418C-21E9-4083-A899-A86D20A4EB3F}"/>
    <hyperlink ref="B21" location="'4. Calculator'!A1" display="Step 4" xr:uid="{58199338-F1DA-4FB3-AB2A-3FD74BD0FAC6}"/>
    <hyperlink ref="B22" location="'5. Easing in Change'!A1" display="Step 5" xr:uid="{6675DF24-51E9-4379-8DA4-3801CFD8C6AE}"/>
    <hyperlink ref="B23" location="'6. Transition Together '!A1" display="Step 6" xr:uid="{08C3DD49-FF66-4384-B658-E51992C6F14E}"/>
    <hyperlink ref="B24" location="'7. Exploring Cross Subsidies'!A1" display="Step 7" xr:uid="{31EBA66A-CB4F-479B-9EAA-D3155F02E7F0}"/>
    <hyperlink ref="M39" r:id="rId1" display="https://creativecommons.org/licenses/by-nc-sa/4.0/" xr:uid="{9BB11852-4161-4B35-8351-658DB0681D9C}"/>
    <hyperlink ref="M41" r:id="rId2" xr:uid="{1A790167-F9AD-4D2C-A5E8-D5A149353A26}"/>
    <hyperlink ref="Q41" r:id="rId3" xr:uid="{792C3635-D933-461E-B9EF-DA669472459A}"/>
    <hyperlink ref="K42" r:id="rId4" xr:uid="{856DBD35-E7E7-4BB4-AE9E-C0F1DF89F9F6}"/>
    <hyperlink ref="N74" r:id="rId5" xr:uid="{EB388930-8688-47FC-AB51-DE99054F26F7}"/>
    <hyperlink ref="R30" r:id="rId6" display="lessons in Boiteux and pricing" xr:uid="{4D76325F-6A6C-4347-8ABE-DA6E0399FF73}"/>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31D78-6209-4249-8831-A37B33A2E2C9}">
  <sheetPr>
    <tabColor theme="3" tint="0.749992370372631"/>
  </sheetPr>
  <dimension ref="A1:M55"/>
  <sheetViews>
    <sheetView tabSelected="1" topLeftCell="E39" workbookViewId="0">
      <selection activeCell="I43" sqref="I43"/>
    </sheetView>
  </sheetViews>
  <sheetFormatPr defaultColWidth="8.7109375" defaultRowHeight="17.45" customHeight="1"/>
  <cols>
    <col min="1" max="1" width="3.42578125" style="53" customWidth="1"/>
    <col min="2" max="2" width="3.42578125" style="15" customWidth="1"/>
    <col min="3" max="3" width="40.28515625" style="15" customWidth="1"/>
    <col min="4" max="4" width="17.7109375" style="15" customWidth="1"/>
    <col min="5" max="5" width="17.42578125" style="15" customWidth="1"/>
    <col min="6" max="6" width="23.85546875" style="15" customWidth="1"/>
    <col min="7" max="7" width="16.5703125" style="106" customWidth="1"/>
    <col min="8" max="8" width="11.140625" style="15" customWidth="1"/>
    <col min="9" max="9" width="67.140625" style="56" customWidth="1"/>
    <col min="10" max="10" width="2" style="15" hidden="1" customWidth="1"/>
    <col min="11" max="11" width="6.85546875" style="15" hidden="1" customWidth="1"/>
    <col min="12" max="16384" width="8.7109375" style="15"/>
  </cols>
  <sheetData>
    <row r="1" spans="1:11" s="53" customFormat="1" ht="17.45" customHeight="1">
      <c r="I1" s="54"/>
    </row>
    <row r="2" spans="1:11" ht="21.6" customHeight="1">
      <c r="C2" s="55" t="s">
        <v>126</v>
      </c>
      <c r="G2" s="15"/>
    </row>
    <row r="3" spans="1:11" ht="21.6" customHeight="1" thickBot="1">
      <c r="C3" s="57"/>
      <c r="D3" s="111" t="s">
        <v>127</v>
      </c>
      <c r="E3" s="58" t="s">
        <v>128</v>
      </c>
      <c r="F3" s="59"/>
      <c r="G3" s="60" t="s">
        <v>129</v>
      </c>
      <c r="H3" s="61"/>
      <c r="I3" s="61" t="s">
        <v>130</v>
      </c>
    </row>
    <row r="4" spans="1:11" ht="37.5" customHeight="1" thickBot="1">
      <c r="C4" s="62" t="s">
        <v>131</v>
      </c>
      <c r="D4" s="63"/>
      <c r="E4" s="64">
        <f>VLOOKUP(K4,Jurisdata3,25,FALSE)</f>
        <v>333.37826101697954</v>
      </c>
      <c r="F4" s="65" t="s">
        <v>132</v>
      </c>
      <c r="G4" s="66">
        <f>E4</f>
        <v>333.37826101697954</v>
      </c>
      <c r="H4" s="67" t="s">
        <v>132</v>
      </c>
      <c r="I4" s="86" t="s">
        <v>133</v>
      </c>
      <c r="J4" s="15">
        <v>26</v>
      </c>
      <c r="K4" s="15" t="str" cm="1">
        <f t="array" ref="K4">INDEX(Jurisdictionsplus,J4,1)</f>
        <v>NEM</v>
      </c>
    </row>
    <row r="5" spans="1:11" ht="16.5" customHeight="1">
      <c r="C5" s="69" t="s">
        <v>134</v>
      </c>
      <c r="D5" s="37">
        <f>VLOOKUP(K4,Jurisdata3,5,FALSE)</f>
        <v>9682089.8397797588</v>
      </c>
      <c r="E5" s="70"/>
      <c r="F5" s="71"/>
      <c r="G5" s="72"/>
      <c r="H5" s="71"/>
      <c r="I5" s="73"/>
    </row>
    <row r="6" spans="1:11" ht="16.5" customHeight="1">
      <c r="C6" s="74" t="s">
        <v>135</v>
      </c>
      <c r="D6" s="75">
        <f>D7*D5/1000000</f>
        <v>17274.22430396223</v>
      </c>
      <c r="E6" s="75"/>
      <c r="F6" s="76"/>
      <c r="G6" s="77">
        <f>D6/E4*G4</f>
        <v>17274.22430396223</v>
      </c>
      <c r="H6" s="76"/>
      <c r="I6" s="68"/>
    </row>
    <row r="7" spans="1:11" ht="16.5" customHeight="1">
      <c r="C7" s="69" t="s">
        <v>136</v>
      </c>
      <c r="D7" s="70">
        <f>VLOOKUP(K4,Jurisdata3,26,FALSE)</f>
        <v>1784.1421211554439</v>
      </c>
      <c r="E7" s="70"/>
      <c r="F7" s="71"/>
      <c r="G7" s="72">
        <f>D7/E4*G4</f>
        <v>1784.1421211554439</v>
      </c>
      <c r="H7" s="71"/>
      <c r="I7" s="73"/>
    </row>
    <row r="8" spans="1:11" ht="30.95" customHeight="1">
      <c r="C8" s="57" t="s">
        <v>137</v>
      </c>
      <c r="D8" s="78" t="s">
        <v>138</v>
      </c>
      <c r="E8" s="58"/>
      <c r="F8" s="78" t="s">
        <v>139</v>
      </c>
      <c r="G8" s="415" t="s">
        <v>140</v>
      </c>
      <c r="H8" s="415"/>
      <c r="I8" s="415"/>
    </row>
    <row r="9" spans="1:11" s="21" customFormat="1" ht="16.5" customHeight="1">
      <c r="A9" s="79"/>
      <c r="C9" s="80" t="s">
        <v>141</v>
      </c>
      <c r="D9" s="81">
        <f>'2. Check Reference Home'!E29</f>
        <v>51815.689035232033</v>
      </c>
      <c r="E9" s="80" t="s">
        <v>142</v>
      </c>
      <c r="F9" s="81">
        <f>'2. Check Reference Home'!B29</f>
        <v>51815.689035232033</v>
      </c>
      <c r="G9" s="82" t="s">
        <v>142</v>
      </c>
      <c r="H9" s="80"/>
      <c r="I9" s="83"/>
    </row>
    <row r="10" spans="1:11" s="21" customFormat="1" ht="16.5" customHeight="1">
      <c r="A10" s="79"/>
      <c r="C10" s="21" t="s">
        <v>143</v>
      </c>
      <c r="D10" s="84">
        <f>'2. Check Reference Home'!E5</f>
        <v>5351.7050443327325</v>
      </c>
      <c r="E10" s="21" t="s">
        <v>144</v>
      </c>
      <c r="F10" s="84">
        <f>'2. Check Reference Home'!B5</f>
        <v>5351.7050443327325</v>
      </c>
      <c r="G10" s="31" t="s">
        <v>144</v>
      </c>
      <c r="I10" s="85"/>
    </row>
    <row r="11" spans="1:11" s="21" customFormat="1" ht="16.5" customHeight="1">
      <c r="A11" s="79"/>
      <c r="C11" s="80" t="s">
        <v>145</v>
      </c>
      <c r="D11" s="81">
        <f>'2. Check Reference Home'!E30</f>
        <v>16766.429999999997</v>
      </c>
      <c r="E11" s="80" t="s">
        <v>146</v>
      </c>
      <c r="F11" s="81">
        <f>'2. Check Reference Home'!B30</f>
        <v>16766.429999999997</v>
      </c>
      <c r="G11" s="82" t="s">
        <v>146</v>
      </c>
      <c r="H11" s="80"/>
      <c r="I11" s="86"/>
    </row>
    <row r="12" spans="1:11" s="21" customFormat="1" ht="16.5" customHeight="1">
      <c r="A12" s="79"/>
      <c r="C12" s="21" t="s">
        <v>147</v>
      </c>
      <c r="D12" s="27">
        <f>'2. Check Reference Home'!E7</f>
        <v>1.7316953547687168</v>
      </c>
      <c r="E12" s="21" t="s">
        <v>148</v>
      </c>
      <c r="F12" s="27">
        <f>'2. Check Reference Home'!B7</f>
        <v>1.7316953547687168</v>
      </c>
      <c r="G12" s="31" t="s">
        <v>148</v>
      </c>
      <c r="I12" s="85"/>
    </row>
    <row r="13" spans="1:11" s="21" customFormat="1" ht="16.5" customHeight="1">
      <c r="A13" s="79"/>
      <c r="C13" s="80" t="s">
        <v>149</v>
      </c>
      <c r="D13" s="412">
        <f>D11/VLOOKUP(K4,Jurisdata3,31,FALSE)</f>
        <v>0.52235885319962683</v>
      </c>
      <c r="E13" s="80"/>
      <c r="F13" s="412">
        <f>F11/VLOOKUP(K4,Jurisdata3,31,FALSE)</f>
        <v>0.52235885319962683</v>
      </c>
      <c r="G13" s="82"/>
      <c r="I13" s="85"/>
    </row>
    <row r="14" spans="1:11" s="21" customFormat="1" ht="42">
      <c r="A14" s="79"/>
      <c r="C14" s="57" t="s">
        <v>150</v>
      </c>
      <c r="D14" s="61" t="s">
        <v>151</v>
      </c>
      <c r="E14" s="58"/>
      <c r="F14" s="59" t="s">
        <v>152</v>
      </c>
      <c r="G14" s="60"/>
      <c r="H14" s="61"/>
      <c r="I14" s="61"/>
    </row>
    <row r="15" spans="1:11" s="21" customFormat="1" ht="28.5" customHeight="1">
      <c r="A15" s="79"/>
      <c r="C15" s="80" t="s">
        <v>153</v>
      </c>
      <c r="D15" s="87">
        <f>SUM(Lookups!C62:E62)</f>
        <v>3335.1249853212767</v>
      </c>
      <c r="E15" s="80" t="s">
        <v>154</v>
      </c>
      <c r="F15" s="239">
        <f>SUM(Lookups!U62:W62)</f>
        <v>3335.1249853212767</v>
      </c>
      <c r="G15" s="88"/>
      <c r="H15" s="80"/>
      <c r="I15" s="86" t="s">
        <v>155</v>
      </c>
    </row>
    <row r="16" spans="1:11" s="21" customFormat="1" ht="28.5" customHeight="1">
      <c r="A16" s="79"/>
      <c r="C16" s="89" t="s">
        <v>156</v>
      </c>
      <c r="G16" s="90"/>
      <c r="I16" s="85"/>
    </row>
    <row r="17" spans="1:13" s="21" customFormat="1" ht="24" customHeight="1">
      <c r="A17" s="79"/>
      <c r="C17" s="91" t="s">
        <v>157</v>
      </c>
      <c r="D17" s="92">
        <f>Lookups!E62</f>
        <v>838.3214999999999</v>
      </c>
      <c r="E17" s="93" t="s">
        <v>158</v>
      </c>
      <c r="F17" s="80"/>
      <c r="G17" s="88"/>
      <c r="H17" s="80"/>
      <c r="I17" s="86" t="s">
        <v>159</v>
      </c>
    </row>
    <row r="18" spans="1:13" s="21" customFormat="1" ht="24" customHeight="1">
      <c r="A18" s="79"/>
      <c r="C18" s="94" t="s">
        <v>160</v>
      </c>
      <c r="D18" s="95">
        <f>Lookups!C62</f>
        <v>1993.8105853212769</v>
      </c>
      <c r="E18" s="96" t="s">
        <v>158</v>
      </c>
      <c r="G18" s="90"/>
      <c r="I18" s="85" t="s">
        <v>161</v>
      </c>
    </row>
    <row r="19" spans="1:13" s="21" customFormat="1" ht="24" customHeight="1">
      <c r="A19" s="79"/>
      <c r="C19" s="91" t="s">
        <v>162</v>
      </c>
      <c r="D19" s="92">
        <f>Lookups!D62</f>
        <v>502.99289999999991</v>
      </c>
      <c r="E19" s="93" t="s">
        <v>158</v>
      </c>
      <c r="F19" s="80"/>
      <c r="G19" s="97"/>
      <c r="H19" s="80"/>
      <c r="I19" s="86" t="s">
        <v>163</v>
      </c>
    </row>
    <row r="20" spans="1:13" s="21" customFormat="1" ht="24" customHeight="1">
      <c r="A20" s="79"/>
      <c r="C20" s="57" t="s">
        <v>164</v>
      </c>
      <c r="D20" s="57"/>
      <c r="E20" s="58"/>
      <c r="F20" s="59"/>
      <c r="G20" s="60"/>
      <c r="H20" s="61"/>
      <c r="I20" s="61"/>
    </row>
    <row r="21" spans="1:13" s="21" customFormat="1" ht="24" customHeight="1">
      <c r="A21" s="79"/>
      <c r="C21" s="31" t="s">
        <v>165</v>
      </c>
      <c r="D21" s="98">
        <f>SUM(Lookups!C63:H70)</f>
        <v>11552.129382558471</v>
      </c>
      <c r="E21" s="21" t="s">
        <v>166</v>
      </c>
      <c r="F21" s="240">
        <f>SUM(Lookups!U63:Z69)</f>
        <v>11552.129382558469</v>
      </c>
      <c r="G21" s="100"/>
      <c r="H21" s="99"/>
      <c r="I21" s="101"/>
    </row>
    <row r="22" spans="1:13" s="21" customFormat="1" ht="28.5" customHeight="1">
      <c r="A22" s="79"/>
      <c r="C22" s="89" t="s">
        <v>167</v>
      </c>
      <c r="G22" s="90"/>
      <c r="I22" s="85"/>
    </row>
    <row r="23" spans="1:13" s="21" customFormat="1" ht="24.95" customHeight="1">
      <c r="A23" s="79"/>
      <c r="C23" s="91" t="s">
        <v>168</v>
      </c>
      <c r="D23" s="92">
        <f>SUM(Lookups!E63:E68)</f>
        <v>3473.5414150740207</v>
      </c>
      <c r="E23" s="93" t="s">
        <v>158</v>
      </c>
      <c r="F23" s="80"/>
      <c r="G23" s="88"/>
      <c r="H23" s="80"/>
      <c r="I23" s="86" t="s">
        <v>169</v>
      </c>
    </row>
    <row r="24" spans="1:13" s="21" customFormat="1" ht="24.95" customHeight="1">
      <c r="A24" s="79"/>
      <c r="C24" s="94" t="s">
        <v>170</v>
      </c>
      <c r="D24" s="95">
        <f>SUM(Lookups!C63:C68)</f>
        <v>777.2353355284805</v>
      </c>
      <c r="E24" s="96" t="s">
        <v>158</v>
      </c>
      <c r="G24" s="90"/>
      <c r="I24" s="85" t="s">
        <v>171</v>
      </c>
    </row>
    <row r="25" spans="1:13" s="21" customFormat="1" ht="24.95" customHeight="1">
      <c r="A25" s="79"/>
      <c r="C25" s="91" t="s">
        <v>172</v>
      </c>
      <c r="D25" s="92">
        <f>SUM(Lookups!G63:H68)</f>
        <v>1065.835166943599</v>
      </c>
      <c r="E25" s="93" t="s">
        <v>158</v>
      </c>
      <c r="F25" s="80"/>
      <c r="G25" s="88"/>
      <c r="H25" s="80"/>
      <c r="I25" s="86" t="s">
        <v>173</v>
      </c>
      <c r="M25" s="90"/>
    </row>
    <row r="26" spans="1:13" s="21" customFormat="1" ht="64.5" customHeight="1">
      <c r="A26" s="79"/>
      <c r="C26" s="94" t="s">
        <v>174</v>
      </c>
      <c r="D26" s="230" t="s">
        <v>175</v>
      </c>
      <c r="E26" s="96" t="s">
        <v>158</v>
      </c>
      <c r="G26" s="228"/>
      <c r="I26" s="85" t="s">
        <v>176</v>
      </c>
    </row>
    <row r="27" spans="1:13" s="21" customFormat="1" ht="31.5" customHeight="1">
      <c r="A27" s="79"/>
      <c r="C27" s="91" t="s">
        <v>177</v>
      </c>
      <c r="D27" s="229">
        <f>Lookups!E70</f>
        <v>2446.7544008840073</v>
      </c>
      <c r="E27" s="93" t="s">
        <v>158</v>
      </c>
      <c r="F27" s="80"/>
      <c r="G27" s="97"/>
      <c r="H27" s="80"/>
      <c r="I27" s="86" t="s">
        <v>178</v>
      </c>
    </row>
    <row r="28" spans="1:13" s="21" customFormat="1" ht="29.1" customHeight="1">
      <c r="A28" s="79"/>
      <c r="C28" s="31" t="s">
        <v>179</v>
      </c>
      <c r="D28" s="95"/>
      <c r="E28" s="96"/>
      <c r="G28" s="228"/>
      <c r="I28" s="85"/>
    </row>
    <row r="29" spans="1:13" s="21" customFormat="1" ht="21.6" customHeight="1">
      <c r="A29" s="79"/>
      <c r="C29" s="91" t="s">
        <v>180</v>
      </c>
      <c r="D29" s="92">
        <f>SUM(Lookups!F63:F69)</f>
        <v>2626.9122833547917</v>
      </c>
      <c r="E29" s="93" t="s">
        <v>158</v>
      </c>
      <c r="F29" s="80"/>
      <c r="G29" s="97"/>
      <c r="H29" s="80"/>
      <c r="I29" s="86" t="s">
        <v>181</v>
      </c>
    </row>
    <row r="30" spans="1:13" s="21" customFormat="1" ht="21.6" customHeight="1">
      <c r="A30" s="79"/>
      <c r="C30" s="94" t="s">
        <v>182</v>
      </c>
      <c r="D30" s="95">
        <f>Lookups!C69</f>
        <v>1161.8507807735709</v>
      </c>
      <c r="E30" s="96" t="s">
        <v>158</v>
      </c>
      <c r="G30" s="228"/>
      <c r="I30" s="85" t="s">
        <v>183</v>
      </c>
    </row>
    <row r="31" spans="1:13" s="21" customFormat="1" ht="24.95" customHeight="1">
      <c r="A31" s="79"/>
      <c r="C31" s="57" t="s">
        <v>184</v>
      </c>
      <c r="D31" s="57"/>
      <c r="E31" s="58"/>
      <c r="F31" s="59"/>
      <c r="G31" s="60"/>
      <c r="H31" s="61"/>
      <c r="I31" s="61"/>
    </row>
    <row r="32" spans="1:13" ht="24.95" customHeight="1">
      <c r="A32" s="79"/>
      <c r="B32" s="21"/>
      <c r="C32" s="31" t="s">
        <v>185</v>
      </c>
      <c r="D32" s="98">
        <f>D6-D15-D21</f>
        <v>2386.9699360824834</v>
      </c>
      <c r="E32" s="21" t="s">
        <v>166</v>
      </c>
      <c r="F32" s="241">
        <f>G6-F15-F21</f>
        <v>2386.9699360824852</v>
      </c>
      <c r="G32" s="396">
        <f>F32/G6</f>
        <v>0.13818102011880096</v>
      </c>
      <c r="H32" s="99"/>
      <c r="I32" s="101"/>
    </row>
    <row r="33" spans="1:9" ht="14.45">
      <c r="A33" s="79"/>
      <c r="B33" s="21"/>
      <c r="C33" s="89" t="s">
        <v>186</v>
      </c>
      <c r="D33" s="21"/>
      <c r="E33" s="21"/>
      <c r="F33" s="21"/>
      <c r="G33" s="90"/>
      <c r="H33" s="21"/>
      <c r="I33" s="102"/>
    </row>
    <row r="34" spans="1:9" ht="30">
      <c r="A34" s="79"/>
      <c r="B34" s="21"/>
      <c r="C34" s="91" t="s">
        <v>187</v>
      </c>
      <c r="D34" s="402">
        <f>D27+D35</f>
        <v>2016.541021939111</v>
      </c>
      <c r="E34" s="403" t="s">
        <v>158</v>
      </c>
      <c r="F34" s="80"/>
      <c r="G34" s="88"/>
      <c r="H34" s="80"/>
      <c r="I34" s="86" t="s">
        <v>188</v>
      </c>
    </row>
    <row r="35" spans="1:9" ht="23.1" customHeight="1">
      <c r="A35" s="79"/>
      <c r="B35" s="21"/>
      <c r="C35" s="91" t="s">
        <v>189</v>
      </c>
      <c r="D35" s="92">
        <f>Lookups!E72</f>
        <v>-430.21337894489625</v>
      </c>
      <c r="E35" s="93" t="s">
        <v>158</v>
      </c>
      <c r="F35" s="80"/>
      <c r="G35" s="88"/>
      <c r="H35" s="80"/>
      <c r="I35" s="86" t="s">
        <v>190</v>
      </c>
    </row>
    <row r="36" spans="1:9" ht="18.600000000000001" customHeight="1">
      <c r="A36" s="79"/>
      <c r="B36" s="21"/>
      <c r="C36" s="94" t="s">
        <v>191</v>
      </c>
      <c r="D36" s="95">
        <f>Lookups!C72</f>
        <v>1837.9291276869308</v>
      </c>
      <c r="E36" s="96" t="s">
        <v>158</v>
      </c>
      <c r="F36" s="21"/>
      <c r="G36" s="90"/>
      <c r="H36" s="21"/>
      <c r="I36" s="85" t="s">
        <v>192</v>
      </c>
    </row>
    <row r="37" spans="1:9" ht="21.6" customHeight="1">
      <c r="A37" s="79"/>
      <c r="B37" s="21"/>
      <c r="C37" s="91" t="s">
        <v>193</v>
      </c>
      <c r="D37" s="92">
        <f>Lookups!D72</f>
        <v>577.97320728749537</v>
      </c>
      <c r="E37" s="93" t="s">
        <v>158</v>
      </c>
      <c r="F37" s="80"/>
      <c r="G37" s="97"/>
      <c r="H37" s="80"/>
      <c r="I37" s="86" t="s">
        <v>194</v>
      </c>
    </row>
    <row r="38" spans="1:9" ht="21.6" customHeight="1">
      <c r="A38" s="79"/>
      <c r="B38" s="21"/>
      <c r="C38" s="94" t="s">
        <v>195</v>
      </c>
      <c r="D38" s="95">
        <f>Lookups!F72</f>
        <v>290.46269519339421</v>
      </c>
      <c r="E38" s="96" t="s">
        <v>158</v>
      </c>
      <c r="F38" s="21"/>
      <c r="G38" s="228"/>
      <c r="H38" s="21"/>
      <c r="I38" s="85" t="s">
        <v>196</v>
      </c>
    </row>
    <row r="39" spans="1:9" ht="31.5" customHeight="1">
      <c r="A39" s="79"/>
      <c r="B39" s="21"/>
      <c r="C39" s="91" t="s">
        <v>197</v>
      </c>
      <c r="D39" s="92">
        <f>Lookups!G72+Lookups!H72</f>
        <v>110.81828485955918</v>
      </c>
      <c r="E39" s="93" t="s">
        <v>158</v>
      </c>
      <c r="F39" s="80"/>
      <c r="G39" s="88"/>
      <c r="H39" s="80"/>
      <c r="I39" s="86" t="s">
        <v>198</v>
      </c>
    </row>
    <row r="40" spans="1:9" ht="28.5" customHeight="1">
      <c r="C40" s="33"/>
      <c r="D40" s="103"/>
      <c r="E40" s="103"/>
      <c r="F40" s="21"/>
      <c r="G40" s="90"/>
      <c r="H40" s="21"/>
      <c r="I40" s="85"/>
    </row>
    <row r="41" spans="1:9" ht="28.5" customHeight="1">
      <c r="C41" s="33" t="s">
        <v>199</v>
      </c>
      <c r="D41" s="105">
        <f>D23+D24+D25</f>
        <v>5316.6119175460999</v>
      </c>
      <c r="E41" s="104"/>
      <c r="F41" s="98"/>
      <c r="G41" s="90"/>
      <c r="H41" s="98"/>
      <c r="I41" s="33"/>
    </row>
    <row r="42" spans="1:9" ht="28.5" customHeight="1">
      <c r="C42" s="21" t="s">
        <v>200</v>
      </c>
      <c r="D42" s="414">
        <f>D15</f>
        <v>3335.1249853212767</v>
      </c>
      <c r="E42" s="105"/>
      <c r="F42" s="98"/>
      <c r="H42" s="98"/>
      <c r="I42" s="107"/>
    </row>
    <row r="43" spans="1:9" ht="28.5" customHeight="1">
      <c r="C43" s="21" t="s">
        <v>201</v>
      </c>
      <c r="D43" s="105">
        <f>D29+D30</f>
        <v>3788.7630641283627</v>
      </c>
      <c r="E43" s="105"/>
      <c r="F43" s="98"/>
      <c r="H43" s="98"/>
      <c r="I43" s="107"/>
    </row>
    <row r="44" spans="1:9" ht="28.5" customHeight="1">
      <c r="C44" s="21" t="s">
        <v>202</v>
      </c>
      <c r="D44" s="105">
        <f>D6-D41-D42-D43</f>
        <v>4833.724336966492</v>
      </c>
      <c r="E44" s="105"/>
      <c r="F44" s="98"/>
      <c r="H44" s="98"/>
      <c r="I44" s="108"/>
    </row>
    <row r="45" spans="1:9" ht="28.5" customHeight="1">
      <c r="C45" s="21"/>
      <c r="E45" s="105"/>
      <c r="F45" s="98"/>
      <c r="H45" s="98"/>
      <c r="I45" s="108"/>
    </row>
    <row r="46" spans="1:9" ht="28.5" customHeight="1">
      <c r="C46" s="21"/>
      <c r="E46" s="105"/>
      <c r="F46" s="98"/>
      <c r="H46" s="98"/>
      <c r="I46" s="108"/>
    </row>
    <row r="47" spans="1:9" ht="28.5" customHeight="1"/>
    <row r="48" spans="1:9" ht="18">
      <c r="C48" s="109"/>
    </row>
    <row r="49" spans="3:3" ht="28.5" customHeight="1"/>
    <row r="50" spans="3:3" ht="28.5" customHeight="1"/>
    <row r="51" spans="3:3" ht="28.5" customHeight="1"/>
    <row r="52" spans="3:3" ht="28.5" customHeight="1"/>
    <row r="53" spans="3:3" ht="28.5" customHeight="1">
      <c r="C53" s="110"/>
    </row>
    <row r="54" spans="3:3" ht="28.5" customHeight="1">
      <c r="C54" s="110"/>
    </row>
    <row r="55" spans="3:3" ht="17.45" customHeight="1">
      <c r="C55" s="110"/>
    </row>
  </sheetData>
  <mergeCells count="1">
    <mergeCell ref="G8:I8"/>
  </mergeCells>
  <conditionalFormatting sqref="E42:E46">
    <cfRule type="colorScale" priority="1">
      <colorScale>
        <cfvo type="min"/>
        <cfvo type="max"/>
        <color rgb="FF63BE7B"/>
        <color rgb="FFFFEF9C"/>
      </colorScale>
    </cfRule>
  </conditionalFormatting>
  <conditionalFormatting sqref="F42:F46">
    <cfRule type="colorScale" priority="2">
      <colorScale>
        <cfvo type="min"/>
        <cfvo type="max"/>
        <color rgb="FFFCFCFF"/>
        <color rgb="FFF8696B"/>
      </colorScale>
    </cfRule>
  </conditionalFormatting>
  <conditionalFormatting sqref="H42:H46">
    <cfRule type="colorScale" priority="3">
      <colorScale>
        <cfvo type="min"/>
        <cfvo type="max"/>
        <color rgb="FFFCFCFF"/>
        <color rgb="FFF8696B"/>
      </colorScale>
    </cfRule>
  </conditionalFormatting>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5121" r:id="rId3" name="Drop Down 1">
              <controlPr defaultSize="0" autoLine="0" autoPict="0">
                <anchor moveWithCells="1">
                  <from>
                    <xdr:col>3</xdr:col>
                    <xdr:colOff>152400</xdr:colOff>
                    <xdr:row>3</xdr:row>
                    <xdr:rowOff>127000</xdr:rowOff>
                  </from>
                  <to>
                    <xdr:col>3</xdr:col>
                    <xdr:colOff>1041400</xdr:colOff>
                    <xdr:row>3</xdr:row>
                    <xdr:rowOff>349250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FCD8D4-BF6A-4AC0-BCF8-622D5B7E8C4C}">
  <sheetPr>
    <tabColor rgb="FFCDABFF"/>
  </sheetPr>
  <dimension ref="A1:AJ38"/>
  <sheetViews>
    <sheetView workbookViewId="0">
      <selection activeCell="E7" sqref="E7"/>
    </sheetView>
  </sheetViews>
  <sheetFormatPr defaultColWidth="8.7109375" defaultRowHeight="14.1"/>
  <cols>
    <col min="1" max="1" width="3.42578125" style="12" customWidth="1"/>
    <col min="2" max="2" width="13.140625" style="125" hidden="1" customWidth="1"/>
    <col min="3" max="3" width="8.7109375" style="15"/>
    <col min="4" max="4" width="43.42578125" style="15" customWidth="1"/>
    <col min="5" max="5" width="12.5703125" style="16" customWidth="1"/>
    <col min="6" max="6" width="9.85546875" style="16" customWidth="1"/>
    <col min="7" max="7" width="27.140625" style="16" customWidth="1"/>
    <col min="8" max="8" width="9.85546875" style="16" customWidth="1"/>
    <col min="9" max="9" width="12" style="16" customWidth="1"/>
    <col min="10" max="10" width="9.42578125" style="15" bestFit="1" customWidth="1"/>
    <col min="11" max="11" width="9.42578125" style="15" customWidth="1"/>
    <col min="12" max="12" width="8.7109375" style="15"/>
    <col min="13" max="13" width="9.42578125" style="15" bestFit="1" customWidth="1"/>
    <col min="14" max="17" width="8.7109375" style="15"/>
    <col min="18" max="18" width="12" style="15" customWidth="1"/>
    <col min="19" max="16384" width="8.7109375" style="15"/>
  </cols>
  <sheetData>
    <row r="1" spans="1:36" s="13" customFormat="1">
      <c r="A1" s="12"/>
      <c r="B1" s="125"/>
      <c r="E1" s="14"/>
      <c r="F1" s="14"/>
      <c r="G1" s="14"/>
      <c r="H1" s="14"/>
      <c r="I1" s="14"/>
    </row>
    <row r="2" spans="1:36" ht="18" customHeight="1">
      <c r="B2" s="125" t="str">
        <f>'1. Choose State'!K4</f>
        <v>NEM</v>
      </c>
      <c r="AB2" s="17"/>
    </row>
    <row r="3" spans="1:36" ht="18" customHeight="1">
      <c r="I3" s="126" t="s">
        <v>203</v>
      </c>
      <c r="R3" s="17"/>
      <c r="S3" s="18"/>
      <c r="T3" s="18"/>
      <c r="U3" s="18"/>
      <c r="V3" s="18"/>
      <c r="AA3" s="19"/>
    </row>
    <row r="4" spans="1:36" ht="18" customHeight="1" thickBot="1">
      <c r="D4" s="127" t="s">
        <v>204</v>
      </c>
      <c r="H4" s="16" t="s">
        <v>205</v>
      </c>
      <c r="P4" s="19"/>
      <c r="Q4" s="19"/>
      <c r="R4" s="19"/>
      <c r="S4" s="19"/>
      <c r="T4" s="19"/>
      <c r="U4" s="19"/>
      <c r="V4" s="19"/>
      <c r="W4" s="19"/>
      <c r="X4" s="19"/>
      <c r="Y4" s="19"/>
      <c r="Z4" s="19"/>
      <c r="AA4" s="19"/>
    </row>
    <row r="5" spans="1:36" s="21" customFormat="1" ht="18" customHeight="1" thickBot="1">
      <c r="A5" s="20"/>
      <c r="B5" s="128">
        <f>IF($H$5,I5,E5)</f>
        <v>5351.7050443327325</v>
      </c>
      <c r="D5" s="129" t="s">
        <v>206</v>
      </c>
      <c r="E5" s="22">
        <f>VLOOKUP(B2,Jurisdata3,8,FALSE)</f>
        <v>5351.7050443327325</v>
      </c>
      <c r="F5" s="22" t="s">
        <v>144</v>
      </c>
      <c r="G5" s="23"/>
      <c r="H5" s="130" t="b">
        <v>1</v>
      </c>
      <c r="I5" s="140">
        <f>E5</f>
        <v>5351.7050443327325</v>
      </c>
      <c r="J5" s="22" t="s">
        <v>144</v>
      </c>
      <c r="K5" s="22"/>
      <c r="L5" s="22"/>
      <c r="N5" s="25"/>
      <c r="O5" s="26"/>
      <c r="P5" s="26"/>
      <c r="R5" s="27"/>
      <c r="S5" s="28"/>
      <c r="T5" s="28"/>
      <c r="U5" s="28"/>
      <c r="V5" s="28"/>
      <c r="W5" s="28"/>
      <c r="X5" s="29"/>
      <c r="AB5" s="30"/>
      <c r="AC5" s="30"/>
      <c r="AD5" s="30"/>
      <c r="AE5" s="30"/>
      <c r="AF5" s="31"/>
      <c r="AG5" s="30"/>
      <c r="AH5" s="30"/>
      <c r="AI5" s="30"/>
      <c r="AJ5" s="30"/>
    </row>
    <row r="6" spans="1:36" s="21" customFormat="1" ht="18" customHeight="1" thickBot="1">
      <c r="A6" s="20"/>
      <c r="B6" s="128">
        <f t="shared" ref="B6:B36" si="0">IF($H$5,I6,E6)</f>
        <v>14.662205600911596</v>
      </c>
      <c r="D6" s="129" t="s">
        <v>207</v>
      </c>
      <c r="E6" s="22">
        <f>E5/365</f>
        <v>14.662205600911596</v>
      </c>
      <c r="F6" s="22" t="s">
        <v>208</v>
      </c>
      <c r="G6" s="32"/>
      <c r="H6" s="23"/>
      <c r="I6" s="22">
        <f>I5/365</f>
        <v>14.662205600911596</v>
      </c>
      <c r="J6" s="22" t="s">
        <v>208</v>
      </c>
      <c r="K6" s="22"/>
      <c r="L6" s="22"/>
      <c r="N6" s="25"/>
      <c r="O6" s="26"/>
      <c r="P6" s="26"/>
      <c r="R6" s="27"/>
      <c r="S6" s="28"/>
      <c r="T6" s="28"/>
      <c r="U6" s="28"/>
      <c r="V6" s="28"/>
      <c r="W6" s="28"/>
      <c r="X6" s="29"/>
      <c r="AB6" s="30"/>
      <c r="AC6" s="23"/>
      <c r="AD6" s="23"/>
      <c r="AE6" s="23"/>
      <c r="AF6" s="31"/>
      <c r="AG6" s="23"/>
      <c r="AH6" s="23"/>
      <c r="AI6" s="30"/>
      <c r="AJ6" s="23"/>
    </row>
    <row r="7" spans="1:36" s="21" customFormat="1" ht="18" customHeight="1" thickBot="1">
      <c r="A7" s="20"/>
      <c r="B7" s="128">
        <f t="shared" si="0"/>
        <v>1.7316953547687168</v>
      </c>
      <c r="D7" s="129" t="s">
        <v>209</v>
      </c>
      <c r="E7" s="131">
        <f>VLOOKUP(B2,Jurisdata3,9,FALSE)</f>
        <v>1.7316953547687168</v>
      </c>
      <c r="F7" s="22" t="s">
        <v>148</v>
      </c>
      <c r="G7" s="27"/>
      <c r="H7" s="23"/>
      <c r="I7" s="132">
        <f>E7</f>
        <v>1.7316953547687168</v>
      </c>
      <c r="J7" s="22" t="s">
        <v>148</v>
      </c>
      <c r="K7" s="22"/>
      <c r="L7" s="22"/>
      <c r="N7" s="25"/>
      <c r="O7" s="26"/>
      <c r="P7" s="26"/>
      <c r="R7" s="27"/>
      <c r="S7" s="28"/>
      <c r="T7" s="28"/>
      <c r="U7" s="28"/>
      <c r="V7" s="28"/>
      <c r="W7" s="28"/>
      <c r="X7" s="29"/>
      <c r="AB7" s="30"/>
      <c r="AC7" s="23"/>
      <c r="AD7" s="23"/>
      <c r="AE7" s="23"/>
      <c r="AF7" s="31"/>
      <c r="AG7" s="23"/>
      <c r="AH7" s="23"/>
      <c r="AI7" s="30"/>
      <c r="AJ7" s="23"/>
    </row>
    <row r="8" spans="1:36" s="21" customFormat="1" ht="18" customHeight="1">
      <c r="A8" s="20"/>
      <c r="B8" s="128">
        <f t="shared" si="0"/>
        <v>0.61092523337131655</v>
      </c>
      <c r="D8" s="129" t="s">
        <v>210</v>
      </c>
      <c r="E8" s="131">
        <f>E6/24</f>
        <v>0.61092523337131655</v>
      </c>
      <c r="F8" s="22" t="s">
        <v>148</v>
      </c>
      <c r="G8" s="32"/>
      <c r="H8" s="23"/>
      <c r="I8" s="131">
        <f>I6/24</f>
        <v>0.61092523337131655</v>
      </c>
      <c r="J8" s="22" t="s">
        <v>148</v>
      </c>
      <c r="K8" s="22"/>
      <c r="L8" s="22"/>
      <c r="N8" s="25"/>
      <c r="O8" s="26"/>
      <c r="P8" s="26"/>
      <c r="R8" s="27"/>
      <c r="S8" s="28"/>
      <c r="T8" s="28"/>
      <c r="U8" s="28"/>
      <c r="V8" s="28"/>
      <c r="W8" s="28"/>
      <c r="X8" s="29"/>
      <c r="AB8" s="30"/>
      <c r="AC8" s="23"/>
      <c r="AD8" s="23"/>
      <c r="AE8" s="23"/>
      <c r="AF8" s="31"/>
      <c r="AG8" s="23"/>
      <c r="AH8" s="23"/>
      <c r="AI8" s="30"/>
      <c r="AJ8" s="23"/>
    </row>
    <row r="9" spans="1:36" s="21" customFormat="1" ht="18" customHeight="1">
      <c r="A9" s="20"/>
      <c r="B9" s="128">
        <f t="shared" si="0"/>
        <v>0.35279024782792179</v>
      </c>
      <c r="D9" s="129" t="s">
        <v>211</v>
      </c>
      <c r="E9" s="24">
        <f>E8/E7</f>
        <v>0.35279024782792179</v>
      </c>
      <c r="F9" s="22"/>
      <c r="G9" s="32"/>
      <c r="H9" s="23"/>
      <c r="I9" s="24">
        <f>I8/I7</f>
        <v>0.35279024782792179</v>
      </c>
      <c r="J9" s="22"/>
      <c r="K9" s="22"/>
      <c r="L9" s="22"/>
      <c r="N9" s="25"/>
      <c r="O9" s="26"/>
      <c r="P9" s="26"/>
      <c r="R9" s="27"/>
      <c r="S9" s="28"/>
      <c r="T9" s="28"/>
      <c r="U9" s="28"/>
      <c r="V9" s="28"/>
      <c r="W9" s="28"/>
      <c r="X9" s="29"/>
      <c r="AB9" s="30"/>
      <c r="AC9" s="23"/>
      <c r="AD9" s="23"/>
      <c r="AE9" s="23"/>
      <c r="AF9" s="31"/>
      <c r="AG9" s="23"/>
      <c r="AH9" s="23"/>
      <c r="AI9" s="30"/>
      <c r="AJ9" s="23"/>
    </row>
    <row r="10" spans="1:36" s="21" customFormat="1" ht="18" customHeight="1">
      <c r="A10" s="20"/>
      <c r="B10" s="128">
        <f t="shared" si="0"/>
        <v>1429.9031041379999</v>
      </c>
      <c r="D10" s="129" t="s">
        <v>212</v>
      </c>
      <c r="E10" s="22">
        <f>VLOOKUP(B2,Jurisdata3,27,FALSE)</f>
        <v>1429.9031041379997</v>
      </c>
      <c r="F10" s="22" t="s">
        <v>144</v>
      </c>
      <c r="G10" s="32"/>
      <c r="H10" s="23"/>
      <c r="I10" s="22">
        <f>I31/I28*1000000-I11</f>
        <v>1429.9031041379999</v>
      </c>
      <c r="J10" s="22" t="s">
        <v>144</v>
      </c>
      <c r="K10" s="22"/>
      <c r="L10" s="22"/>
      <c r="O10" s="26"/>
      <c r="P10" s="26"/>
      <c r="R10" s="27"/>
      <c r="S10" s="28"/>
      <c r="T10" s="28"/>
      <c r="U10" s="28"/>
      <c r="V10" s="28"/>
      <c r="W10" s="28"/>
      <c r="X10" s="29"/>
      <c r="AB10" s="30"/>
      <c r="AC10" s="23"/>
      <c r="AD10" s="23"/>
      <c r="AE10" s="23"/>
      <c r="AF10" s="31"/>
      <c r="AG10" s="23"/>
      <c r="AH10" s="23"/>
      <c r="AI10" s="30"/>
      <c r="AJ10" s="23"/>
    </row>
    <row r="11" spans="1:36" s="21" customFormat="1" ht="18" customHeight="1">
      <c r="A11" s="20"/>
      <c r="B11" s="128">
        <f t="shared" si="0"/>
        <v>694.22508929217202</v>
      </c>
      <c r="D11" s="129" t="s">
        <v>213</v>
      </c>
      <c r="E11" s="22">
        <f>VLOOKUP(B2,Jurisdata3,28,FALSE)</f>
        <v>694.22508929217213</v>
      </c>
      <c r="F11" s="22" t="s">
        <v>144</v>
      </c>
      <c r="G11" s="32"/>
      <c r="H11" s="23"/>
      <c r="I11" s="22">
        <f>I33/I28*1000000</f>
        <v>694.22508929217202</v>
      </c>
      <c r="J11" s="22" t="s">
        <v>144</v>
      </c>
      <c r="K11" s="30"/>
      <c r="L11" s="22"/>
      <c r="M11" s="29"/>
      <c r="O11" s="26"/>
      <c r="P11" s="26"/>
      <c r="R11" s="27"/>
      <c r="S11" s="28"/>
      <c r="T11" s="28"/>
      <c r="U11" s="28"/>
      <c r="V11" s="28"/>
      <c r="W11" s="28"/>
      <c r="X11" s="29"/>
      <c r="AB11" s="30"/>
      <c r="AC11" s="23"/>
      <c r="AD11" s="23"/>
      <c r="AE11" s="23"/>
      <c r="AF11" s="31"/>
      <c r="AG11" s="23"/>
      <c r="AH11" s="23"/>
      <c r="AI11" s="30"/>
      <c r="AJ11" s="23"/>
    </row>
    <row r="12" spans="1:36" s="21" customFormat="1" ht="18" customHeight="1">
      <c r="A12" s="20"/>
      <c r="B12" s="128">
        <f t="shared" si="0"/>
        <v>6045.9301336249046</v>
      </c>
      <c r="D12" s="129" t="s">
        <v>214</v>
      </c>
      <c r="E12" s="22">
        <f>E5+E11</f>
        <v>6045.9301336249046</v>
      </c>
      <c r="F12" s="22" t="s">
        <v>144</v>
      </c>
      <c r="G12" s="32"/>
      <c r="I12" s="22">
        <f>I5+I11</f>
        <v>6045.9301336249046</v>
      </c>
      <c r="J12" s="22" t="s">
        <v>144</v>
      </c>
      <c r="K12" s="22"/>
      <c r="L12" s="22"/>
      <c r="O12" s="26"/>
      <c r="P12" s="26"/>
      <c r="R12" s="27"/>
      <c r="S12" s="28"/>
      <c r="T12" s="28"/>
      <c r="U12" s="28"/>
      <c r="V12" s="28"/>
      <c r="W12" s="28"/>
      <c r="X12" s="29"/>
      <c r="AB12" s="30"/>
      <c r="AC12" s="23"/>
      <c r="AD12" s="23"/>
      <c r="AE12" s="23"/>
      <c r="AF12" s="31"/>
      <c r="AG12" s="23"/>
      <c r="AH12" s="23"/>
      <c r="AI12" s="30"/>
      <c r="AJ12" s="23"/>
    </row>
    <row r="13" spans="1:36" s="21" customFormat="1" ht="18" customHeight="1">
      <c r="A13" s="20"/>
      <c r="B13" s="128">
        <f t="shared" si="0"/>
        <v>1042.1579361406757</v>
      </c>
      <c r="D13" s="129" t="s">
        <v>215</v>
      </c>
      <c r="E13" s="22">
        <f>1800*(1-E26)</f>
        <v>1042.1579361406757</v>
      </c>
      <c r="F13" s="22" t="s">
        <v>144</v>
      </c>
      <c r="G13" s="32"/>
      <c r="I13" s="22">
        <f>1800*(1-I26)</f>
        <v>1042.1579361406757</v>
      </c>
      <c r="J13" s="22" t="s">
        <v>144</v>
      </c>
      <c r="K13" s="22"/>
      <c r="L13" s="22"/>
      <c r="O13" s="26"/>
      <c r="P13" s="26"/>
      <c r="R13" s="27"/>
      <c r="S13" s="28"/>
      <c r="T13" s="28"/>
      <c r="U13" s="28"/>
      <c r="V13" s="28"/>
      <c r="W13" s="28"/>
      <c r="X13" s="29"/>
      <c r="AB13" s="30"/>
      <c r="AC13" s="23"/>
      <c r="AD13" s="23"/>
      <c r="AE13" s="23"/>
      <c r="AF13" s="31"/>
      <c r="AG13" s="23"/>
      <c r="AH13" s="23"/>
      <c r="AI13" s="30"/>
      <c r="AJ13" s="23"/>
    </row>
    <row r="14" spans="1:36" ht="18" customHeight="1">
      <c r="B14" s="128">
        <f t="shared" si="0"/>
        <v>2.6455545291483107</v>
      </c>
      <c r="D14" s="129" t="s">
        <v>216</v>
      </c>
      <c r="E14" s="131">
        <f>(E5-E10)*E27/1000000</f>
        <v>2.6455545291483116</v>
      </c>
      <c r="F14" s="133" t="s">
        <v>217</v>
      </c>
      <c r="G14" s="32"/>
      <c r="I14" s="131">
        <f>(I5-I10)*I27/1000000</f>
        <v>2.6455545291483107</v>
      </c>
      <c r="J14" s="133" t="s">
        <v>217</v>
      </c>
      <c r="K14" s="34"/>
      <c r="L14" s="34"/>
      <c r="O14" s="26"/>
      <c r="P14" s="26"/>
      <c r="Q14" s="21"/>
      <c r="R14" s="27"/>
      <c r="S14" s="28"/>
      <c r="T14" s="28"/>
      <c r="U14" s="28"/>
      <c r="V14" s="28"/>
      <c r="W14" s="28"/>
      <c r="X14" s="29"/>
      <c r="AA14" s="21"/>
      <c r="AB14" s="30"/>
      <c r="AC14" s="23"/>
      <c r="AD14" s="23"/>
      <c r="AE14" s="23"/>
      <c r="AF14" s="31"/>
      <c r="AG14" s="23"/>
      <c r="AH14" s="23"/>
      <c r="AI14" s="30"/>
      <c r="AJ14" s="23"/>
    </row>
    <row r="15" spans="1:36" ht="18" customHeight="1" thickBot="1">
      <c r="B15" s="128">
        <f t="shared" si="0"/>
        <v>1.7316953547687168</v>
      </c>
      <c r="D15" s="129" t="s">
        <v>218</v>
      </c>
      <c r="E15" s="131">
        <f>E7</f>
        <v>1.7316953547687168</v>
      </c>
      <c r="F15" s="22" t="s">
        <v>148</v>
      </c>
      <c r="I15" s="131">
        <f>I7</f>
        <v>1.7316953547687168</v>
      </c>
      <c r="J15" s="22" t="s">
        <v>148</v>
      </c>
      <c r="K15" s="16"/>
      <c r="L15" s="16"/>
      <c r="O15" s="26"/>
      <c r="P15" s="26"/>
      <c r="Q15" s="21"/>
      <c r="R15" s="27"/>
      <c r="S15" s="28"/>
      <c r="T15" s="28"/>
      <c r="U15" s="28"/>
      <c r="V15" s="28"/>
      <c r="W15" s="28"/>
      <c r="X15" s="29"/>
      <c r="AA15" s="21"/>
      <c r="AB15" s="30"/>
      <c r="AC15" s="23"/>
      <c r="AD15" s="23"/>
      <c r="AE15" s="23"/>
      <c r="AF15" s="31"/>
      <c r="AG15" s="23"/>
      <c r="AH15" s="23"/>
      <c r="AI15" s="30"/>
      <c r="AJ15" s="23"/>
    </row>
    <row r="16" spans="1:36" ht="22.5" customHeight="1" thickBot="1">
      <c r="B16" s="128">
        <f t="shared" si="0"/>
        <v>16.451105870302808</v>
      </c>
      <c r="D16" s="129" t="s">
        <v>219</v>
      </c>
      <c r="E16" s="22">
        <f>E15*0.95*10</f>
        <v>16.451105870302808</v>
      </c>
      <c r="F16" s="22" t="s">
        <v>144</v>
      </c>
      <c r="G16" s="19" t="s">
        <v>220</v>
      </c>
      <c r="I16" s="134">
        <f>E16</f>
        <v>16.451105870302808</v>
      </c>
      <c r="J16" s="22" t="s">
        <v>144</v>
      </c>
      <c r="K16" s="16"/>
      <c r="L16" s="16"/>
      <c r="O16" s="26"/>
      <c r="P16" s="26"/>
      <c r="Q16" s="21"/>
      <c r="R16" s="27"/>
      <c r="S16" s="28"/>
      <c r="T16" s="28"/>
      <c r="U16" s="28"/>
      <c r="V16" s="28"/>
      <c r="W16" s="28"/>
      <c r="X16" s="29"/>
      <c r="AA16" s="21"/>
      <c r="AB16" s="30"/>
      <c r="AC16" s="23"/>
      <c r="AD16" s="23"/>
      <c r="AE16" s="23"/>
      <c r="AF16" s="31"/>
      <c r="AG16" s="23"/>
      <c r="AH16" s="23"/>
      <c r="AI16" s="30"/>
      <c r="AJ16" s="23"/>
    </row>
    <row r="17" spans="2:17" ht="22.5" customHeight="1" thickBot="1">
      <c r="B17" s="128">
        <f t="shared" si="0"/>
        <v>124.68206554334762</v>
      </c>
      <c r="D17" s="129" t="s">
        <v>221</v>
      </c>
      <c r="E17" s="22">
        <f>E15*0.8*90</f>
        <v>124.68206554334762</v>
      </c>
      <c r="F17" s="22" t="s">
        <v>144</v>
      </c>
      <c r="G17" s="19" t="s">
        <v>222</v>
      </c>
      <c r="I17" s="134">
        <f t="shared" ref="I17:I18" si="1">E17</f>
        <v>124.68206554334762</v>
      </c>
      <c r="J17" s="22" t="s">
        <v>144</v>
      </c>
    </row>
    <row r="18" spans="2:17" ht="22.5" customHeight="1" thickBot="1">
      <c r="B18" s="128">
        <f t="shared" si="0"/>
        <v>450.24079223986638</v>
      </c>
      <c r="D18" s="129" t="s">
        <v>223</v>
      </c>
      <c r="E18" s="22">
        <f>E15*0.65*400</f>
        <v>450.24079223986638</v>
      </c>
      <c r="F18" s="22" t="s">
        <v>144</v>
      </c>
      <c r="G18" s="19" t="s">
        <v>224</v>
      </c>
      <c r="I18" s="134">
        <f t="shared" si="1"/>
        <v>450.24079223986638</v>
      </c>
      <c r="J18" s="22" t="s">
        <v>144</v>
      </c>
    </row>
    <row r="19" spans="2:17" ht="18" customHeight="1">
      <c r="B19" s="128">
        <f t="shared" si="0"/>
        <v>4760.331080679216</v>
      </c>
      <c r="D19" s="129" t="s">
        <v>225</v>
      </c>
      <c r="E19" s="22">
        <f>E5-E16-E17-E18</f>
        <v>4760.331080679216</v>
      </c>
      <c r="F19" s="22" t="s">
        <v>144</v>
      </c>
      <c r="I19" s="22">
        <f>I5-I16-I17-I18</f>
        <v>4760.331080679216</v>
      </c>
      <c r="J19" s="22" t="s">
        <v>144</v>
      </c>
    </row>
    <row r="20" spans="2:17" ht="18" customHeight="1">
      <c r="B20" s="128">
        <f t="shared" si="0"/>
        <v>3226.2121829271487</v>
      </c>
      <c r="D20" s="129" t="s">
        <v>226</v>
      </c>
      <c r="E20" s="22">
        <f>E19-E21-E22</f>
        <v>3226.2121829271491</v>
      </c>
      <c r="F20" s="22" t="s">
        <v>144</v>
      </c>
      <c r="I20" s="22">
        <f>I19-I21-I22</f>
        <v>3226.2121829271487</v>
      </c>
      <c r="J20" s="22" t="s">
        <v>144</v>
      </c>
      <c r="O20" s="16"/>
      <c r="P20" s="16"/>
      <c r="Q20" s="16"/>
    </row>
    <row r="21" spans="2:17" ht="18" customHeight="1" thickBot="1">
      <c r="B21" s="128">
        <f t="shared" si="0"/>
        <v>1429.9031041379999</v>
      </c>
      <c r="D21" s="129" t="s">
        <v>227</v>
      </c>
      <c r="E21" s="22">
        <f>E10</f>
        <v>1429.9031041379997</v>
      </c>
      <c r="F21" s="22" t="s">
        <v>144</v>
      </c>
      <c r="I21" s="22">
        <f>I10</f>
        <v>1429.9031041379999</v>
      </c>
      <c r="J21" s="22" t="s">
        <v>144</v>
      </c>
      <c r="O21" s="16"/>
      <c r="P21" s="16"/>
      <c r="Q21" s="16"/>
    </row>
    <row r="22" spans="2:17" ht="25.5" customHeight="1" thickBot="1">
      <c r="B22" s="128">
        <f t="shared" si="0"/>
        <v>104.21579361406758</v>
      </c>
      <c r="D22" s="129" t="s">
        <v>228</v>
      </c>
      <c r="E22" s="22">
        <f>E13*0.1</f>
        <v>104.21579361406758</v>
      </c>
      <c r="F22" s="22" t="s">
        <v>144</v>
      </c>
      <c r="G22" s="19" t="s">
        <v>229</v>
      </c>
      <c r="H22" s="19"/>
      <c r="I22" s="134">
        <f>E22</f>
        <v>104.21579361406758</v>
      </c>
      <c r="J22" s="22" t="s">
        <v>144</v>
      </c>
      <c r="O22" s="16"/>
      <c r="P22" s="16"/>
      <c r="Q22" s="16"/>
    </row>
    <row r="23" spans="2:17" ht="18" customHeight="1">
      <c r="B23" s="128">
        <f t="shared" si="0"/>
        <v>0</v>
      </c>
      <c r="F23" s="36"/>
      <c r="O23" s="16"/>
      <c r="P23" s="16"/>
      <c r="Q23" s="16"/>
    </row>
    <row r="24" spans="2:17" ht="18" customHeight="1" thickBot="1">
      <c r="B24" s="128">
        <f t="shared" si="0"/>
        <v>0</v>
      </c>
      <c r="D24" s="17" t="s">
        <v>230</v>
      </c>
      <c r="E24" s="36" t="str">
        <f>B2</f>
        <v>NEM</v>
      </c>
      <c r="F24" s="36"/>
      <c r="I24" s="19"/>
      <c r="O24" s="16"/>
      <c r="P24" s="16"/>
      <c r="Q24" s="16"/>
    </row>
    <row r="25" spans="2:17" ht="18" customHeight="1" thickBot="1">
      <c r="B25" s="128">
        <f t="shared" si="0"/>
        <v>0.30696989843712735</v>
      </c>
      <c r="D25" s="15" t="s">
        <v>231</v>
      </c>
      <c r="E25" s="24">
        <f>VLOOKUP(B2,Jurisdata3,30,FALSE)</f>
        <v>0.30696989843712735</v>
      </c>
      <c r="F25" s="36"/>
      <c r="G25" s="39"/>
      <c r="H25" s="36"/>
      <c r="I25" s="135">
        <f>E25</f>
        <v>0.30696989843712735</v>
      </c>
      <c r="J25" s="36"/>
      <c r="O25" s="16"/>
      <c r="P25" s="16"/>
      <c r="Q25" s="16"/>
    </row>
    <row r="26" spans="2:17" ht="18" customHeight="1" thickBot="1">
      <c r="B26" s="128">
        <f t="shared" si="0"/>
        <v>0.42102336881073577</v>
      </c>
      <c r="D26" s="15" t="s">
        <v>232</v>
      </c>
      <c r="E26" s="24">
        <f>VLOOKUP(B2,Jurisdata3,14,FALSE)</f>
        <v>0.42102336881073577</v>
      </c>
      <c r="F26" s="36"/>
      <c r="I26" s="135">
        <f>E26</f>
        <v>0.42102336881073577</v>
      </c>
      <c r="J26" s="36"/>
      <c r="O26" s="16"/>
      <c r="P26" s="16"/>
      <c r="Q26" s="16"/>
    </row>
    <row r="27" spans="2:17" ht="18" customHeight="1">
      <c r="B27" s="128">
        <f t="shared" si="0"/>
        <v>674.57627118644064</v>
      </c>
      <c r="D27" s="15" t="s">
        <v>233</v>
      </c>
      <c r="E27" s="22">
        <f>VLOOKUP(B2,Jurisdata3,29,FALSE)</f>
        <v>674.57627118644064</v>
      </c>
      <c r="F27" s="136" t="s">
        <v>234</v>
      </c>
      <c r="I27" s="22">
        <f>E27</f>
        <v>674.57627118644064</v>
      </c>
      <c r="J27" s="136" t="s">
        <v>234</v>
      </c>
      <c r="O27" s="16"/>
      <c r="P27" s="16"/>
      <c r="Q27" s="16"/>
    </row>
    <row r="28" spans="2:17" ht="18" customHeight="1">
      <c r="B28" s="128">
        <f t="shared" si="0"/>
        <v>9682089.8397797588</v>
      </c>
      <c r="D28" s="15" t="s">
        <v>235</v>
      </c>
      <c r="E28" s="37">
        <f>'1. Choose State'!D5</f>
        <v>9682089.8397797588</v>
      </c>
      <c r="F28" s="16" t="s">
        <v>236</v>
      </c>
      <c r="G28" s="41"/>
      <c r="I28" s="37">
        <f>E28</f>
        <v>9682089.8397797588</v>
      </c>
      <c r="J28" s="16" t="s">
        <v>236</v>
      </c>
    </row>
    <row r="29" spans="2:17" ht="18" customHeight="1">
      <c r="B29" s="128">
        <f t="shared" si="0"/>
        <v>51815.689035232033</v>
      </c>
      <c r="D29" s="15" t="s">
        <v>237</v>
      </c>
      <c r="E29" s="37">
        <f>E5*E28/1000000</f>
        <v>51815.689035232033</v>
      </c>
      <c r="F29" s="16" t="s">
        <v>142</v>
      </c>
      <c r="I29" s="37">
        <f>I5*I28/1000000</f>
        <v>51815.689035232033</v>
      </c>
      <c r="J29" s="16" t="s">
        <v>142</v>
      </c>
    </row>
    <row r="30" spans="2:17" ht="18" customHeight="1" thickBot="1">
      <c r="B30" s="128">
        <f t="shared" si="0"/>
        <v>16766.429999999997</v>
      </c>
      <c r="D30" s="15" t="s">
        <v>238</v>
      </c>
      <c r="E30" s="37">
        <f>E15*E28/1000</f>
        <v>16766.429999999997</v>
      </c>
      <c r="F30" s="16" t="s">
        <v>146</v>
      </c>
      <c r="I30" s="37">
        <f>I15*I28/1000</f>
        <v>16766.429999999997</v>
      </c>
      <c r="J30" s="16" t="s">
        <v>146</v>
      </c>
    </row>
    <row r="31" spans="2:17" ht="18" customHeight="1" thickBot="1">
      <c r="B31" s="128">
        <f t="shared" si="0"/>
        <v>20566</v>
      </c>
      <c r="D31" s="15" t="s">
        <v>239</v>
      </c>
      <c r="E31" s="37">
        <f>(E10+E11)*E28/1000000</f>
        <v>20566</v>
      </c>
      <c r="F31" s="16" t="s">
        <v>142</v>
      </c>
      <c r="G31" s="43"/>
      <c r="H31" s="36"/>
      <c r="I31" s="137">
        <f>E31</f>
        <v>20566</v>
      </c>
      <c r="J31" s="16" t="s">
        <v>142</v>
      </c>
      <c r="K31" s="44"/>
      <c r="M31" s="45"/>
    </row>
    <row r="32" spans="2:17" ht="18" customHeight="1" thickBot="1">
      <c r="B32" s="128">
        <f t="shared" si="0"/>
        <v>0.32682824484858186</v>
      </c>
      <c r="D32" s="15" t="s">
        <v>240</v>
      </c>
      <c r="E32" s="40">
        <f>E11/(E11+E10)</f>
        <v>0.32682824484858186</v>
      </c>
      <c r="F32" s="36"/>
      <c r="G32" s="43"/>
      <c r="H32" s="36"/>
      <c r="I32" s="135">
        <f>E32</f>
        <v>0.32682824484858186</v>
      </c>
      <c r="J32" s="36"/>
      <c r="K32" s="47"/>
      <c r="M32" s="47"/>
    </row>
    <row r="33" spans="2:10" ht="18" customHeight="1">
      <c r="B33" s="128">
        <f t="shared" si="0"/>
        <v>6721.5496835559343</v>
      </c>
      <c r="D33" s="15" t="s">
        <v>241</v>
      </c>
      <c r="E33" s="138">
        <f>E31*E32</f>
        <v>6721.5496835559343</v>
      </c>
      <c r="F33" s="16" t="s">
        <v>142</v>
      </c>
      <c r="G33" s="43"/>
      <c r="H33" s="36"/>
      <c r="I33" s="138">
        <f>I31*I32</f>
        <v>6721.5496835559343</v>
      </c>
      <c r="J33" s="16" t="s">
        <v>142</v>
      </c>
    </row>
    <row r="34" spans="2:10" ht="18" customHeight="1">
      <c r="B34" s="128">
        <f t="shared" si="0"/>
        <v>58537.238718787965</v>
      </c>
      <c r="D34" s="15" t="s">
        <v>242</v>
      </c>
      <c r="E34" s="138">
        <f>E33+E29</f>
        <v>58537.238718787965</v>
      </c>
      <c r="F34" s="16" t="s">
        <v>142</v>
      </c>
      <c r="G34" s="43"/>
      <c r="H34" s="36"/>
      <c r="I34" s="138">
        <f>I33+I29</f>
        <v>58537.238718787965</v>
      </c>
      <c r="J34" s="16" t="s">
        <v>142</v>
      </c>
    </row>
    <row r="35" spans="2:10" ht="18" customHeight="1">
      <c r="B35" s="128">
        <f t="shared" si="0"/>
        <v>17274.22430396223</v>
      </c>
      <c r="D35" s="15" t="s">
        <v>243</v>
      </c>
      <c r="E35" s="139">
        <f>'1. Choose State'!D6</f>
        <v>17274.22430396223</v>
      </c>
      <c r="F35" s="16" t="s">
        <v>244</v>
      </c>
      <c r="G35" s="43"/>
      <c r="H35" s="36"/>
      <c r="I35" s="139">
        <f>E35</f>
        <v>17274.22430396223</v>
      </c>
      <c r="J35" s="16" t="s">
        <v>244</v>
      </c>
    </row>
    <row r="36" spans="2:10" ht="18" customHeight="1">
      <c r="B36" s="128">
        <f t="shared" si="0"/>
        <v>1784.1421211554439</v>
      </c>
      <c r="D36" s="15" t="s">
        <v>245</v>
      </c>
      <c r="E36" s="43">
        <f>E35*1000000/E28</f>
        <v>1784.1421211554439</v>
      </c>
      <c r="F36" s="36" t="s">
        <v>246</v>
      </c>
      <c r="G36" s="43"/>
      <c r="H36" s="36"/>
      <c r="I36" s="43">
        <f>I35*1000000/I28</f>
        <v>1784.1421211554439</v>
      </c>
      <c r="J36" s="36" t="s">
        <v>246</v>
      </c>
    </row>
    <row r="37" spans="2:10">
      <c r="D37" s="48"/>
      <c r="E37" s="49"/>
      <c r="F37" s="50"/>
      <c r="G37" s="51"/>
      <c r="H37" s="36"/>
    </row>
    <row r="38" spans="2:10">
      <c r="D38" s="39"/>
      <c r="E38" s="37"/>
      <c r="F38" s="36"/>
      <c r="G38" s="43"/>
      <c r="H38" s="36"/>
    </row>
  </sheetData>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0C6784-A5FE-4164-9722-15DD2C4EC917}">
  <sheetPr>
    <tabColor theme="9" tint="-0.749992370372631"/>
  </sheetPr>
  <dimension ref="A1:AK43"/>
  <sheetViews>
    <sheetView topLeftCell="A11" workbookViewId="0">
      <selection activeCell="G17" sqref="G17"/>
    </sheetView>
  </sheetViews>
  <sheetFormatPr defaultColWidth="8.7109375" defaultRowHeight="14.1"/>
  <cols>
    <col min="1" max="1" width="3.42578125" style="166" customWidth="1"/>
    <col min="2" max="2" width="7.42578125" style="170" hidden="1" customWidth="1"/>
    <col min="3" max="3" width="8.7109375" style="15"/>
    <col min="4" max="4" width="6.7109375" style="15" customWidth="1"/>
    <col min="5" max="5" width="43.42578125" style="15" customWidth="1"/>
    <col min="6" max="6" width="12.5703125" style="16" customWidth="1"/>
    <col min="7" max="7" width="9.85546875" style="16" customWidth="1"/>
    <col min="8" max="8" width="11.42578125" style="16" customWidth="1"/>
    <col min="9" max="9" width="9.85546875" style="16" customWidth="1"/>
    <col min="10" max="10" width="12" style="16" customWidth="1"/>
    <col min="11" max="11" width="18.7109375" style="15" customWidth="1"/>
    <col min="12" max="12" width="97.7109375" style="36" customWidth="1"/>
    <col min="13" max="13" width="8.7109375" style="15"/>
    <col min="14" max="14" width="9.42578125" style="15" bestFit="1" customWidth="1"/>
    <col min="15" max="18" width="8.7109375" style="15"/>
    <col min="19" max="19" width="12" style="15" customWidth="1"/>
    <col min="20" max="16384" width="8.7109375" style="15"/>
  </cols>
  <sheetData>
    <row r="1" spans="1:37" s="167" customFormat="1">
      <c r="A1" s="166"/>
      <c r="B1" s="170"/>
      <c r="F1" s="168"/>
      <c r="G1" s="168"/>
      <c r="H1" s="168"/>
      <c r="I1" s="168"/>
      <c r="J1" s="168"/>
      <c r="L1" s="178"/>
    </row>
    <row r="2" spans="1:37" ht="24.6" customHeight="1">
      <c r="B2" s="170" t="str">
        <f>'1. Choose State'!K4</f>
        <v>NEM</v>
      </c>
      <c r="AC2" s="17"/>
    </row>
    <row r="3" spans="1:37" ht="24.6" customHeight="1">
      <c r="J3" s="126" t="s">
        <v>203</v>
      </c>
      <c r="L3" s="50" t="s">
        <v>247</v>
      </c>
      <c r="S3" s="17"/>
      <c r="T3" s="18"/>
      <c r="U3" s="18"/>
      <c r="V3" s="18"/>
      <c r="W3" s="18"/>
      <c r="AB3" s="19"/>
    </row>
    <row r="4" spans="1:37" ht="24.95" customHeight="1" thickBot="1">
      <c r="D4" s="183" t="s">
        <v>248</v>
      </c>
      <c r="E4" s="127"/>
      <c r="I4" s="30" t="s">
        <v>205</v>
      </c>
      <c r="L4" s="179" t="s">
        <v>249</v>
      </c>
      <c r="Q4" s="19"/>
      <c r="R4" s="19"/>
      <c r="S4" s="19"/>
      <c r="T4" s="19"/>
      <c r="U4" s="19"/>
      <c r="V4" s="19"/>
      <c r="W4" s="19"/>
      <c r="X4" s="19"/>
      <c r="Y4" s="19"/>
      <c r="Z4" s="19"/>
      <c r="AA4" s="19"/>
      <c r="AB4" s="19"/>
    </row>
    <row r="5" spans="1:37" s="21" customFormat="1" ht="39.6" customHeight="1" thickBot="1">
      <c r="A5" s="169"/>
      <c r="B5" s="171">
        <f>IF($I$5,J5,F5)</f>
        <v>198.91682280135231</v>
      </c>
      <c r="D5" s="127" t="s">
        <v>250</v>
      </c>
      <c r="E5" s="175"/>
      <c r="F5" s="186">
        <f>F6+F8+F7*F9</f>
        <v>198.91682280135231</v>
      </c>
      <c r="G5" s="176" t="s">
        <v>251</v>
      </c>
      <c r="H5" s="23"/>
      <c r="I5" s="130" t="b">
        <v>1</v>
      </c>
      <c r="J5" s="185">
        <f>F6+F8+F7*J9</f>
        <v>198.91682280135231</v>
      </c>
      <c r="K5" s="176" t="s">
        <v>251</v>
      </c>
      <c r="L5" s="180" t="s">
        <v>252</v>
      </c>
      <c r="M5" s="22"/>
      <c r="O5" s="25"/>
      <c r="P5" s="26"/>
      <c r="Q5" s="26"/>
      <c r="S5" s="27"/>
      <c r="T5" s="28"/>
      <c r="U5" s="28"/>
      <c r="V5" s="28"/>
      <c r="W5" s="28"/>
      <c r="X5" s="28"/>
      <c r="Y5" s="29"/>
      <c r="AC5" s="30"/>
      <c r="AD5" s="30"/>
      <c r="AE5" s="30"/>
      <c r="AF5" s="30"/>
      <c r="AG5" s="31"/>
      <c r="AH5" s="30"/>
      <c r="AI5" s="30"/>
      <c r="AJ5" s="30"/>
      <c r="AK5" s="30"/>
    </row>
    <row r="6" spans="1:37" s="21" customFormat="1" ht="24.6" customHeight="1">
      <c r="A6" s="169"/>
      <c r="B6" s="171">
        <f t="shared" ref="B6:B42" si="0">IF($I$5,J6,F6)</f>
        <v>0</v>
      </c>
      <c r="D6" s="203"/>
      <c r="E6" s="227" t="s">
        <v>253</v>
      </c>
      <c r="F6" s="205">
        <f>Lookups!L62</f>
        <v>50</v>
      </c>
      <c r="G6" s="205" t="s">
        <v>251</v>
      </c>
      <c r="H6" s="206"/>
      <c r="I6" s="207"/>
      <c r="J6" s="208"/>
      <c r="K6" s="208"/>
      <c r="L6" s="209" t="s">
        <v>254</v>
      </c>
      <c r="M6" s="22"/>
      <c r="O6" s="25"/>
      <c r="P6" s="26"/>
      <c r="Q6" s="26"/>
      <c r="S6" s="27"/>
      <c r="T6" s="28"/>
      <c r="U6" s="28"/>
      <c r="V6" s="28"/>
      <c r="W6" s="28"/>
      <c r="X6" s="28"/>
      <c r="Y6" s="29"/>
      <c r="AC6" s="30"/>
      <c r="AD6" s="23"/>
      <c r="AE6" s="23"/>
      <c r="AF6" s="23"/>
      <c r="AG6" s="31"/>
      <c r="AH6" s="23"/>
      <c r="AI6" s="23"/>
      <c r="AJ6" s="30"/>
      <c r="AK6" s="23"/>
    </row>
    <row r="7" spans="1:37" s="21" customFormat="1" ht="24.6" customHeight="1">
      <c r="A7" s="169"/>
      <c r="B7" s="171">
        <f t="shared" si="0"/>
        <v>0</v>
      </c>
      <c r="D7" s="96"/>
      <c r="E7" s="256" t="s">
        <v>255</v>
      </c>
      <c r="F7" s="174">
        <f>Lookups!J62</f>
        <v>118.91682280135231</v>
      </c>
      <c r="G7" s="174" t="s">
        <v>251</v>
      </c>
      <c r="H7" s="27"/>
      <c r="I7" s="23"/>
      <c r="J7" s="184"/>
      <c r="K7" s="22"/>
      <c r="L7" s="180" t="s">
        <v>256</v>
      </c>
      <c r="M7" s="22"/>
      <c r="O7" s="25"/>
      <c r="P7" s="26"/>
      <c r="Q7" s="26"/>
      <c r="S7" s="27"/>
      <c r="T7" s="28"/>
      <c r="U7" s="28"/>
      <c r="V7" s="28"/>
      <c r="W7" s="28"/>
      <c r="X7" s="28"/>
      <c r="Y7" s="29"/>
      <c r="AC7" s="30"/>
      <c r="AD7" s="23"/>
      <c r="AE7" s="23"/>
      <c r="AF7" s="23"/>
      <c r="AG7" s="31"/>
      <c r="AH7" s="23"/>
      <c r="AI7" s="23"/>
      <c r="AJ7" s="30"/>
      <c r="AK7" s="23"/>
    </row>
    <row r="8" spans="1:37" s="21" customFormat="1" ht="24.6" customHeight="1" thickBot="1">
      <c r="A8" s="169"/>
      <c r="B8" s="171">
        <f t="shared" si="0"/>
        <v>0</v>
      </c>
      <c r="D8" s="203"/>
      <c r="E8" s="227" t="s">
        <v>257</v>
      </c>
      <c r="F8" s="205">
        <f>Lookups!K62</f>
        <v>30</v>
      </c>
      <c r="G8" s="205" t="s">
        <v>251</v>
      </c>
      <c r="H8" s="206"/>
      <c r="I8" s="207"/>
      <c r="J8" s="210"/>
      <c r="K8" s="208"/>
      <c r="L8" s="209" t="s">
        <v>258</v>
      </c>
      <c r="M8" s="22"/>
      <c r="O8" s="25"/>
      <c r="P8" s="26"/>
      <c r="Q8" s="26"/>
      <c r="S8" s="27"/>
      <c r="T8" s="28"/>
      <c r="U8" s="28"/>
      <c r="V8" s="28"/>
      <c r="W8" s="28"/>
      <c r="X8" s="28"/>
      <c r="Y8" s="29"/>
      <c r="AC8" s="30"/>
      <c r="AD8" s="23"/>
      <c r="AE8" s="23"/>
      <c r="AF8" s="23"/>
      <c r="AG8" s="31"/>
      <c r="AH8" s="23"/>
      <c r="AI8" s="23"/>
      <c r="AJ8" s="30"/>
      <c r="AK8" s="23"/>
    </row>
    <row r="9" spans="1:37" s="21" customFormat="1" ht="24.6" customHeight="1" thickBot="1">
      <c r="A9" s="169"/>
      <c r="B9" s="171"/>
      <c r="D9" s="96"/>
      <c r="E9" s="256" t="s">
        <v>259</v>
      </c>
      <c r="F9" s="257">
        <v>1</v>
      </c>
      <c r="G9" s="174"/>
      <c r="H9" s="32"/>
      <c r="I9" s="23"/>
      <c r="J9" s="258">
        <f>F9</f>
        <v>1</v>
      </c>
      <c r="K9" s="22"/>
      <c r="L9" s="180" t="s">
        <v>260</v>
      </c>
      <c r="M9" s="22"/>
      <c r="O9" s="25"/>
      <c r="P9" s="26"/>
      <c r="Q9" s="26"/>
      <c r="S9" s="27"/>
      <c r="T9" s="28"/>
      <c r="U9" s="28"/>
      <c r="V9" s="28"/>
      <c r="W9" s="28"/>
      <c r="X9" s="28"/>
      <c r="Y9" s="29"/>
      <c r="AC9" s="30"/>
      <c r="AD9" s="23"/>
      <c r="AE9" s="23"/>
      <c r="AF9" s="23"/>
      <c r="AG9" s="31"/>
      <c r="AH9" s="23"/>
      <c r="AI9" s="23"/>
      <c r="AJ9" s="30"/>
      <c r="AK9" s="23"/>
    </row>
    <row r="10" spans="1:37" s="21" customFormat="1" ht="24.6" customHeight="1">
      <c r="A10" s="169"/>
      <c r="B10" s="171">
        <f t="shared" si="0"/>
        <v>0</v>
      </c>
      <c r="D10" s="17" t="s">
        <v>261</v>
      </c>
      <c r="E10" s="129"/>
      <c r="F10" s="24"/>
      <c r="G10" s="22"/>
      <c r="H10" s="32"/>
      <c r="I10" s="23"/>
      <c r="J10" s="24"/>
      <c r="K10" s="22"/>
      <c r="L10" s="180" t="s">
        <v>262</v>
      </c>
      <c r="M10" s="22"/>
      <c r="O10" s="25"/>
      <c r="P10" s="26"/>
      <c r="Q10" s="26"/>
      <c r="S10" s="27"/>
      <c r="T10" s="28"/>
      <c r="U10" s="28"/>
      <c r="V10" s="28"/>
      <c r="W10" s="28"/>
      <c r="X10" s="28"/>
      <c r="Y10" s="29"/>
      <c r="AC10" s="30"/>
      <c r="AD10" s="23"/>
      <c r="AE10" s="23"/>
      <c r="AF10" s="23"/>
      <c r="AG10" s="31"/>
      <c r="AH10" s="23"/>
      <c r="AI10" s="23"/>
      <c r="AJ10" s="30"/>
      <c r="AK10" s="23"/>
    </row>
    <row r="11" spans="1:37" s="21" customFormat="1" ht="24.6" customHeight="1">
      <c r="A11" s="169"/>
      <c r="B11" s="171">
        <f t="shared" si="0"/>
        <v>0</v>
      </c>
      <c r="D11" s="211"/>
      <c r="E11" s="227" t="s">
        <v>263</v>
      </c>
      <c r="F11" s="205">
        <f>Lookups!J63</f>
        <v>15</v>
      </c>
      <c r="G11" s="205" t="s">
        <v>132</v>
      </c>
      <c r="H11" s="212"/>
      <c r="I11" s="213"/>
      <c r="J11" s="205"/>
      <c r="K11" s="205"/>
      <c r="L11" s="209" t="s">
        <v>264</v>
      </c>
      <c r="M11" s="22"/>
      <c r="P11" s="26"/>
      <c r="Q11" s="26"/>
      <c r="S11" s="27"/>
      <c r="T11" s="28"/>
      <c r="U11" s="28"/>
      <c r="V11" s="28"/>
      <c r="W11" s="28"/>
      <c r="X11" s="28"/>
      <c r="Y11" s="29"/>
      <c r="AC11" s="30"/>
      <c r="AD11" s="23"/>
      <c r="AE11" s="23"/>
      <c r="AF11" s="23"/>
      <c r="AG11" s="31"/>
      <c r="AH11" s="23"/>
      <c r="AI11" s="23"/>
      <c r="AJ11" s="30"/>
      <c r="AK11" s="23"/>
    </row>
    <row r="12" spans="1:37" s="21" customFormat="1" ht="24.6" customHeight="1">
      <c r="A12" s="169"/>
      <c r="B12" s="171">
        <f t="shared" si="0"/>
        <v>0</v>
      </c>
      <c r="D12" s="15"/>
      <c r="E12" s="256" t="s">
        <v>195</v>
      </c>
      <c r="F12" s="174">
        <f>Lookups!M63</f>
        <v>5</v>
      </c>
      <c r="G12" s="174" t="s">
        <v>132</v>
      </c>
      <c r="H12" s="187"/>
      <c r="I12" s="188"/>
      <c r="J12" s="174"/>
      <c r="K12" s="174"/>
      <c r="L12" s="181" t="s">
        <v>265</v>
      </c>
      <c r="M12" s="22"/>
      <c r="N12" s="29"/>
      <c r="P12" s="26"/>
      <c r="Q12" s="26"/>
      <c r="S12" s="27"/>
      <c r="T12" s="28"/>
      <c r="U12" s="28"/>
      <c r="V12" s="28"/>
      <c r="W12" s="28"/>
      <c r="X12" s="28"/>
      <c r="Y12" s="29"/>
      <c r="AC12" s="30"/>
      <c r="AD12" s="23"/>
      <c r="AE12" s="23"/>
      <c r="AF12" s="23"/>
      <c r="AG12" s="31"/>
      <c r="AH12" s="23"/>
      <c r="AI12" s="23"/>
      <c r="AJ12" s="30"/>
      <c r="AK12" s="23"/>
    </row>
    <row r="13" spans="1:37" s="21" customFormat="1" ht="24.6" customHeight="1">
      <c r="A13" s="169"/>
      <c r="B13" s="171">
        <f t="shared" si="0"/>
        <v>0</v>
      </c>
      <c r="D13" s="211"/>
      <c r="E13" s="227" t="s">
        <v>266</v>
      </c>
      <c r="F13" s="205">
        <f>Lookups!N63+Lookups!O63</f>
        <v>14.836541622790909</v>
      </c>
      <c r="G13" s="205" t="s">
        <v>132</v>
      </c>
      <c r="H13" s="212"/>
      <c r="I13" s="203"/>
      <c r="J13" s="205"/>
      <c r="K13" s="205"/>
      <c r="L13" s="209" t="s">
        <v>267</v>
      </c>
      <c r="M13" s="22"/>
      <c r="P13" s="26"/>
      <c r="Q13" s="26"/>
      <c r="S13" s="27"/>
      <c r="T13" s="28"/>
      <c r="U13" s="28"/>
      <c r="V13" s="28"/>
      <c r="W13" s="28"/>
      <c r="X13" s="28"/>
      <c r="Y13" s="29"/>
      <c r="AC13" s="30"/>
      <c r="AD13" s="23"/>
      <c r="AE13" s="23"/>
      <c r="AF13" s="23"/>
      <c r="AG13" s="31"/>
      <c r="AH13" s="23"/>
      <c r="AI13" s="23"/>
      <c r="AJ13" s="30"/>
      <c r="AK13" s="23"/>
    </row>
    <row r="14" spans="1:37" s="21" customFormat="1" ht="24.6" customHeight="1">
      <c r="A14" s="169"/>
      <c r="B14" s="171">
        <f t="shared" si="0"/>
        <v>0</v>
      </c>
      <c r="D14" s="15"/>
      <c r="E14" s="256" t="s">
        <v>268</v>
      </c>
      <c r="F14" s="174">
        <f>Lookups!N67-Lookups!N63</f>
        <v>20</v>
      </c>
      <c r="G14" s="174" t="s">
        <v>132</v>
      </c>
      <c r="H14" s="187"/>
      <c r="I14" s="96"/>
      <c r="J14" s="174"/>
      <c r="K14" s="174"/>
      <c r="L14" s="180" t="s">
        <v>269</v>
      </c>
      <c r="M14" s="22"/>
      <c r="P14" s="26"/>
      <c r="Q14" s="26"/>
      <c r="S14" s="27"/>
      <c r="T14" s="28"/>
      <c r="U14" s="28"/>
      <c r="V14" s="28"/>
      <c r="W14" s="28"/>
      <c r="X14" s="28"/>
      <c r="Y14" s="29"/>
      <c r="AC14" s="30"/>
      <c r="AD14" s="23"/>
      <c r="AE14" s="23"/>
      <c r="AF14" s="23"/>
      <c r="AG14" s="31"/>
      <c r="AH14" s="23"/>
      <c r="AI14" s="23"/>
      <c r="AJ14" s="30"/>
      <c r="AK14" s="23"/>
    </row>
    <row r="15" spans="1:37" s="21" customFormat="1" ht="33.6" customHeight="1">
      <c r="A15" s="169"/>
      <c r="B15" s="171">
        <f t="shared" si="0"/>
        <v>0</v>
      </c>
      <c r="D15" s="211" t="s">
        <v>270</v>
      </c>
      <c r="E15" s="204"/>
      <c r="F15" s="214" t="s">
        <v>271</v>
      </c>
      <c r="G15" s="394" t="s">
        <v>272</v>
      </c>
      <c r="H15" s="212"/>
      <c r="I15" s="203"/>
      <c r="J15" s="205"/>
      <c r="K15" s="205"/>
      <c r="L15" s="209"/>
      <c r="M15" s="22"/>
      <c r="P15" s="26"/>
      <c r="Q15" s="26"/>
      <c r="S15" s="27"/>
      <c r="T15" s="28"/>
      <c r="U15" s="28"/>
      <c r="V15" s="28"/>
      <c r="W15" s="28"/>
      <c r="X15" s="28"/>
      <c r="Y15" s="29"/>
      <c r="AC15" s="30"/>
      <c r="AD15" s="23"/>
      <c r="AE15" s="23"/>
      <c r="AF15" s="23"/>
      <c r="AG15" s="31"/>
      <c r="AH15" s="23"/>
      <c r="AI15" s="23"/>
      <c r="AJ15" s="30"/>
      <c r="AK15" s="23"/>
    </row>
    <row r="16" spans="1:37" s="21" customFormat="1" ht="39" customHeight="1" thickBot="1">
      <c r="A16" s="169"/>
      <c r="B16" s="171" t="b">
        <v>1</v>
      </c>
      <c r="D16" s="15"/>
      <c r="E16" s="256" t="s">
        <v>273</v>
      </c>
      <c r="F16" s="174"/>
      <c r="H16" s="187"/>
      <c r="I16" s="23"/>
      <c r="K16" s="174"/>
      <c r="L16" s="180"/>
      <c r="M16" s="22"/>
      <c r="P16" s="26"/>
      <c r="Q16" s="26"/>
      <c r="S16" s="27"/>
      <c r="T16" s="28"/>
      <c r="U16" s="28"/>
      <c r="V16" s="28"/>
      <c r="W16" s="28"/>
      <c r="X16" s="28"/>
      <c r="Y16" s="29"/>
      <c r="AC16" s="30"/>
      <c r="AD16" s="23"/>
      <c r="AE16" s="23"/>
      <c r="AF16" s="23"/>
      <c r="AG16" s="31"/>
      <c r="AH16" s="23"/>
      <c r="AI16" s="23"/>
      <c r="AJ16" s="30"/>
      <c r="AK16" s="23"/>
    </row>
    <row r="17" spans="1:37" s="21" customFormat="1" ht="31.5" thickBot="1">
      <c r="A17" s="169"/>
      <c r="B17" s="171">
        <f t="shared" si="0"/>
        <v>66.196103146759739</v>
      </c>
      <c r="D17" s="15"/>
      <c r="E17" s="256" t="s">
        <v>274</v>
      </c>
      <c r="F17" s="174" t="str">
        <f>CONCATENATE("$",Lookups!N70,"/tonne")</f>
        <v>$70/tonne</v>
      </c>
      <c r="G17" s="193">
        <f>Lookups!Q70</f>
        <v>66.196103146759739</v>
      </c>
      <c r="H17" s="174" t="s">
        <v>132</v>
      </c>
      <c r="I17" s="96"/>
      <c r="J17" s="194">
        <f>IF(B16,G17,0)</f>
        <v>66.196103146759739</v>
      </c>
      <c r="K17" s="176" t="s">
        <v>132</v>
      </c>
      <c r="L17" s="179" t="s">
        <v>275</v>
      </c>
      <c r="M17" s="22"/>
      <c r="P17" s="26"/>
      <c r="Q17" s="26"/>
      <c r="S17" s="27"/>
      <c r="T17" s="28"/>
      <c r="U17" s="28"/>
      <c r="V17" s="28"/>
      <c r="W17" s="28"/>
      <c r="X17" s="28"/>
      <c r="Y17" s="29"/>
      <c r="AC17" s="30"/>
      <c r="AD17" s="23"/>
      <c r="AE17" s="23"/>
      <c r="AF17" s="23"/>
      <c r="AG17" s="31"/>
      <c r="AH17" s="23"/>
      <c r="AI17" s="23"/>
      <c r="AJ17" s="30"/>
      <c r="AK17" s="23"/>
    </row>
    <row r="18" spans="1:37" ht="24.6" customHeight="1" thickBot="1">
      <c r="B18" s="171">
        <f t="shared" si="0"/>
        <v>551.03264476955064</v>
      </c>
      <c r="D18" s="211"/>
      <c r="E18" s="203" t="s">
        <v>276</v>
      </c>
      <c r="F18" s="205">
        <f>Lookups!L63</f>
        <v>450</v>
      </c>
      <c r="G18" s="208">
        <f>F18+SUM($F$11:$F$13)+G17</f>
        <v>551.03264476955064</v>
      </c>
      <c r="H18" s="205" t="s">
        <v>132</v>
      </c>
      <c r="I18" s="215"/>
      <c r="J18" s="194">
        <f>G18-$G$17+$J$17</f>
        <v>551.03264476955064</v>
      </c>
      <c r="K18" s="216" t="s">
        <v>132</v>
      </c>
      <c r="L18" s="217" t="s">
        <v>277</v>
      </c>
      <c r="M18" s="34"/>
      <c r="P18" s="26"/>
      <c r="Q18" s="26"/>
      <c r="R18" s="21"/>
      <c r="S18" s="27"/>
      <c r="T18" s="28"/>
      <c r="U18" s="28"/>
      <c r="V18" s="28"/>
      <c r="W18" s="28"/>
      <c r="X18" s="28"/>
      <c r="Y18" s="29"/>
      <c r="AB18" s="21"/>
      <c r="AC18" s="30"/>
      <c r="AD18" s="23"/>
      <c r="AE18" s="23"/>
      <c r="AF18" s="23"/>
      <c r="AG18" s="31"/>
      <c r="AH18" s="23"/>
      <c r="AI18" s="23"/>
      <c r="AJ18" s="30"/>
      <c r="AK18" s="23"/>
    </row>
    <row r="19" spans="1:37" ht="24.6" customHeight="1" thickBot="1">
      <c r="B19" s="171">
        <f t="shared" si="0"/>
        <v>551.03264476955064</v>
      </c>
      <c r="E19" s="96" t="s">
        <v>278</v>
      </c>
      <c r="F19" s="174">
        <f>Lookups!L64</f>
        <v>450</v>
      </c>
      <c r="G19" s="22">
        <f>F19+SUM($F$11:$F$13)+G17</f>
        <v>551.03264476955064</v>
      </c>
      <c r="H19" s="174" t="s">
        <v>132</v>
      </c>
      <c r="J19" s="194">
        <f t="shared" ref="J19:J21" si="1">G19-$G$17+$J$17</f>
        <v>551.03264476955064</v>
      </c>
      <c r="K19" s="176" t="s">
        <v>132</v>
      </c>
      <c r="L19" s="179"/>
      <c r="M19" s="16"/>
      <c r="P19" s="26"/>
      <c r="Q19" s="26"/>
      <c r="R19" s="21"/>
      <c r="S19" s="27"/>
      <c r="T19" s="28"/>
      <c r="U19" s="28"/>
      <c r="V19" s="28"/>
      <c r="W19" s="28"/>
      <c r="X19" s="28"/>
      <c r="Y19" s="29"/>
      <c r="AB19" s="21"/>
      <c r="AC19" s="30"/>
      <c r="AD19" s="23"/>
      <c r="AE19" s="23"/>
      <c r="AF19" s="23"/>
      <c r="AG19" s="31"/>
      <c r="AH19" s="23"/>
      <c r="AI19" s="23"/>
      <c r="AJ19" s="30"/>
      <c r="AK19" s="23"/>
    </row>
    <row r="20" spans="1:37" ht="24.6" customHeight="1" thickBot="1">
      <c r="B20" s="171">
        <f t="shared" si="0"/>
        <v>291.03264476955064</v>
      </c>
      <c r="D20" s="211"/>
      <c r="E20" s="203" t="s">
        <v>279</v>
      </c>
      <c r="F20" s="205">
        <f>Lookups!L65</f>
        <v>190</v>
      </c>
      <c r="G20" s="208">
        <f>F20+SUM($F$11:$F$13)+G17</f>
        <v>291.03264476955064</v>
      </c>
      <c r="H20" s="205" t="s">
        <v>132</v>
      </c>
      <c r="I20" s="215"/>
      <c r="J20" s="194">
        <f t="shared" si="1"/>
        <v>291.03264476955064</v>
      </c>
      <c r="K20" s="216" t="s">
        <v>132</v>
      </c>
      <c r="L20" s="218"/>
      <c r="M20" s="16"/>
      <c r="P20" s="26"/>
      <c r="Q20" s="26"/>
      <c r="R20" s="21"/>
      <c r="S20" s="27"/>
      <c r="T20" s="28"/>
      <c r="U20" s="28"/>
      <c r="V20" s="28"/>
      <c r="W20" s="28"/>
      <c r="X20" s="28"/>
      <c r="Y20" s="29"/>
      <c r="AB20" s="21"/>
      <c r="AC20" s="30"/>
      <c r="AD20" s="23"/>
      <c r="AE20" s="23"/>
      <c r="AF20" s="23"/>
      <c r="AG20" s="31"/>
      <c r="AH20" s="23"/>
      <c r="AI20" s="23"/>
      <c r="AJ20" s="30"/>
      <c r="AK20" s="23"/>
    </row>
    <row r="21" spans="1:37" ht="24.6" customHeight="1" thickBot="1">
      <c r="B21" s="171">
        <f t="shared" si="0"/>
        <v>166.03264476955064</v>
      </c>
      <c r="E21" s="96" t="s">
        <v>280</v>
      </c>
      <c r="F21" s="174">
        <f>Lookups!L66</f>
        <v>65</v>
      </c>
      <c r="G21" s="22">
        <f>F21+SUM($F$11:$F$13)+G17</f>
        <v>166.03264476955064</v>
      </c>
      <c r="H21" s="174" t="s">
        <v>132</v>
      </c>
      <c r="J21" s="194">
        <f t="shared" si="1"/>
        <v>166.03264476955064</v>
      </c>
      <c r="K21" s="176" t="s">
        <v>132</v>
      </c>
      <c r="L21" s="179"/>
    </row>
    <row r="22" spans="1:37" ht="24.6" customHeight="1" thickBot="1">
      <c r="B22" s="171">
        <f t="shared" si="0"/>
        <v>54.836541622790911</v>
      </c>
      <c r="D22" s="211"/>
      <c r="E22" s="203" t="s">
        <v>281</v>
      </c>
      <c r="F22" s="205">
        <f>Lookups!L67</f>
        <v>0</v>
      </c>
      <c r="G22" s="208">
        <f t="shared" ref="G22:G23" si="2">F22+SUM($F$11:$F$14)</f>
        <v>54.836541622790911</v>
      </c>
      <c r="H22" s="205" t="s">
        <v>132</v>
      </c>
      <c r="I22" s="215"/>
      <c r="J22" s="194">
        <f t="shared" ref="J22:J23" si="3">G22</f>
        <v>54.836541622790911</v>
      </c>
      <c r="K22" s="216" t="s">
        <v>132</v>
      </c>
      <c r="L22" s="218"/>
    </row>
    <row r="23" spans="1:37" ht="24.6" customHeight="1" thickBot="1">
      <c r="B23" s="171">
        <f t="shared" si="0"/>
        <v>54.836541622790911</v>
      </c>
      <c r="E23" s="96" t="s">
        <v>282</v>
      </c>
      <c r="F23" s="174">
        <f>Lookups!L68</f>
        <v>0</v>
      </c>
      <c r="G23" s="22">
        <f t="shared" si="2"/>
        <v>54.836541622790911</v>
      </c>
      <c r="H23" s="174" t="s">
        <v>132</v>
      </c>
      <c r="J23" s="194">
        <f t="shared" si="3"/>
        <v>54.836541622790911</v>
      </c>
      <c r="K23" s="176" t="s">
        <v>132</v>
      </c>
      <c r="L23" s="179"/>
    </row>
    <row r="24" spans="1:37" ht="24.6" customHeight="1" thickBot="1">
      <c r="B24" s="171">
        <f t="shared" si="0"/>
        <v>0</v>
      </c>
      <c r="D24" s="219" t="s">
        <v>283</v>
      </c>
      <c r="E24" s="220"/>
      <c r="F24" s="208"/>
      <c r="G24" s="208"/>
      <c r="H24" s="215"/>
      <c r="I24" s="215"/>
      <c r="J24" s="208"/>
      <c r="K24" s="208"/>
      <c r="L24" s="218"/>
      <c r="P24" s="16"/>
      <c r="Q24" s="16"/>
      <c r="R24" s="16"/>
    </row>
    <row r="25" spans="1:37" ht="24.6" customHeight="1" thickBot="1">
      <c r="B25" s="171">
        <f t="shared" si="0"/>
        <v>120</v>
      </c>
      <c r="E25" s="256" t="s">
        <v>263</v>
      </c>
      <c r="F25" s="174">
        <f>Lookups!J69</f>
        <v>120</v>
      </c>
      <c r="G25" s="197" t="s">
        <v>284</v>
      </c>
      <c r="H25" s="196"/>
      <c r="J25" s="194">
        <f>F25</f>
        <v>120</v>
      </c>
      <c r="K25" s="176" t="s">
        <v>285</v>
      </c>
      <c r="L25" s="179" t="s">
        <v>286</v>
      </c>
      <c r="P25" s="16"/>
      <c r="Q25" s="16"/>
      <c r="R25" s="16"/>
    </row>
    <row r="26" spans="1:37" ht="30.6" customHeight="1" thickBot="1">
      <c r="B26" s="171">
        <f t="shared" si="0"/>
        <v>244.55813541929433</v>
      </c>
      <c r="D26" s="219"/>
      <c r="E26" s="227" t="s">
        <v>195</v>
      </c>
      <c r="F26" s="205">
        <f>Lookups!M69</f>
        <v>244.55813541929433</v>
      </c>
      <c r="G26" s="226" t="s">
        <v>284</v>
      </c>
      <c r="H26" s="221"/>
      <c r="I26" s="221"/>
      <c r="J26" s="194">
        <f>F26</f>
        <v>244.55813541929433</v>
      </c>
      <c r="K26" s="216" t="s">
        <v>285</v>
      </c>
      <c r="L26" s="218"/>
      <c r="P26" s="16"/>
      <c r="Q26" s="16"/>
      <c r="R26" s="16"/>
    </row>
    <row r="27" spans="1:37" ht="31.5" customHeight="1">
      <c r="B27" s="171" t="str">
        <f t="shared" si="0"/>
        <v>$m</v>
      </c>
      <c r="D27" s="200" t="s">
        <v>287</v>
      </c>
      <c r="F27" s="198" t="s">
        <v>244</v>
      </c>
      <c r="G27" s="36"/>
      <c r="J27" s="16" t="s">
        <v>244</v>
      </c>
      <c r="L27" s="181" t="s">
        <v>288</v>
      </c>
      <c r="P27" s="16"/>
      <c r="Q27" s="16"/>
      <c r="R27" s="16"/>
    </row>
    <row r="28" spans="1:37" ht="27.95" customHeight="1">
      <c r="B28" s="171" t="e">
        <f>IF($I$5,#REF!,F28)</f>
        <v>#REF!</v>
      </c>
      <c r="D28" s="211" t="s">
        <v>289</v>
      </c>
      <c r="E28" s="219"/>
      <c r="F28" s="215"/>
      <c r="G28" s="222"/>
      <c r="H28" s="215"/>
      <c r="I28" s="215"/>
      <c r="J28" s="215" t="s">
        <v>290</v>
      </c>
      <c r="K28" s="211"/>
      <c r="L28" s="223" t="s">
        <v>291</v>
      </c>
      <c r="P28" s="16"/>
      <c r="Q28" s="16"/>
      <c r="R28" s="16"/>
    </row>
    <row r="29" spans="1:37" ht="24.6" customHeight="1">
      <c r="B29" s="171">
        <f t="shared" si="0"/>
        <v>1505.2110840868181</v>
      </c>
      <c r="E29" s="256" t="s">
        <v>263</v>
      </c>
      <c r="F29" s="201">
        <f>Lookups!C72</f>
        <v>1837.9291276869308</v>
      </c>
      <c r="G29" s="36"/>
      <c r="H29" s="39"/>
      <c r="I29" s="36"/>
      <c r="J29" s="201">
        <f>Lookups!U72</f>
        <v>1505.2110840868181</v>
      </c>
      <c r="K29" s="36"/>
      <c r="L29" s="181" t="s">
        <v>292</v>
      </c>
      <c r="P29" s="16"/>
      <c r="Q29" s="16"/>
      <c r="R29" s="16"/>
    </row>
    <row r="30" spans="1:37" ht="24.6" customHeight="1">
      <c r="B30" s="171">
        <f t="shared" si="0"/>
        <v>577.97320728749537</v>
      </c>
      <c r="D30" s="211"/>
      <c r="E30" s="227" t="s">
        <v>293</v>
      </c>
      <c r="F30" s="224">
        <f>Lookups!D72</f>
        <v>577.97320728749537</v>
      </c>
      <c r="G30" s="215"/>
      <c r="H30" s="215"/>
      <c r="I30" s="215"/>
      <c r="J30" s="242">
        <f>Lookups!V72</f>
        <v>577.97320728749537</v>
      </c>
      <c r="K30" s="222"/>
      <c r="L30" s="223"/>
      <c r="P30" s="16"/>
      <c r="Q30" s="16"/>
      <c r="R30" s="16"/>
    </row>
    <row r="31" spans="1:37" ht="29.1" customHeight="1">
      <c r="B31" s="171">
        <f t="shared" si="0"/>
        <v>342.50301935703101</v>
      </c>
      <c r="E31" s="256" t="s">
        <v>294</v>
      </c>
      <c r="F31" s="201">
        <f>Lookups!E72</f>
        <v>-430.21337894489625</v>
      </c>
      <c r="J31" s="243">
        <f>Lookups!W72</f>
        <v>342.50301935703101</v>
      </c>
      <c r="K31" s="136"/>
      <c r="L31" s="181" t="s">
        <v>295</v>
      </c>
      <c r="P31" s="16"/>
      <c r="Q31" s="16"/>
      <c r="R31" s="16"/>
    </row>
    <row r="32" spans="1:37" ht="26.1" customHeight="1">
      <c r="B32" s="171">
        <f t="shared" si="0"/>
        <v>179.55668066002318</v>
      </c>
      <c r="D32" s="211"/>
      <c r="E32" s="227" t="s">
        <v>195</v>
      </c>
      <c r="F32" s="224">
        <f>Lookups!F72</f>
        <v>290.46269519339421</v>
      </c>
      <c r="G32" s="215"/>
      <c r="H32" s="225"/>
      <c r="I32" s="215"/>
      <c r="J32" s="244">
        <f>Lookups!X72</f>
        <v>179.55668066002318</v>
      </c>
      <c r="K32" s="215"/>
      <c r="L32" s="223" t="s">
        <v>296</v>
      </c>
    </row>
    <row r="33" spans="2:14" ht="24.6" customHeight="1">
      <c r="B33" s="171">
        <f t="shared" si="0"/>
        <v>-218.27405530888331</v>
      </c>
      <c r="E33" s="256" t="s">
        <v>266</v>
      </c>
      <c r="F33" s="201">
        <f>Lookups!G72+Lookups!H72</f>
        <v>110.81828485955918</v>
      </c>
      <c r="J33" s="245">
        <f>Lookups!Y72+Lookups!Z72</f>
        <v>-218.27405530888331</v>
      </c>
      <c r="K33" s="16"/>
      <c r="L33" s="181" t="s">
        <v>297</v>
      </c>
    </row>
    <row r="34" spans="2:14" ht="24.6" customHeight="1">
      <c r="B34" s="171">
        <f t="shared" si="0"/>
        <v>2386.9699360824843</v>
      </c>
      <c r="D34" s="211" t="s">
        <v>298</v>
      </c>
      <c r="E34" s="211"/>
      <c r="F34" s="259">
        <f>Lookups!B72</f>
        <v>2386.9699360824834</v>
      </c>
      <c r="G34" s="260"/>
      <c r="H34" s="260"/>
      <c r="I34" s="260"/>
      <c r="J34" s="259">
        <f>Lookups!T72</f>
        <v>2386.9699360824843</v>
      </c>
      <c r="K34" s="215"/>
      <c r="L34" s="223"/>
    </row>
    <row r="35" spans="2:14" ht="24.6" customHeight="1">
      <c r="B35" s="171">
        <f t="shared" si="0"/>
        <v>0.1381810201188009</v>
      </c>
      <c r="D35" s="15" t="s">
        <v>299</v>
      </c>
      <c r="F35" s="191">
        <f>F34/Lookups!B57</f>
        <v>0.13818102011880085</v>
      </c>
      <c r="H35" s="190"/>
      <c r="I35" s="36"/>
      <c r="J35" s="191">
        <f>J34/Lookups!T57</f>
        <v>0.1381810201188009</v>
      </c>
      <c r="K35" s="16"/>
      <c r="L35" s="202"/>
      <c r="N35" s="45"/>
    </row>
    <row r="36" spans="2:14" ht="24.6" customHeight="1">
      <c r="B36" s="171">
        <f t="shared" si="0"/>
        <v>0</v>
      </c>
      <c r="F36" s="191"/>
      <c r="G36" s="36"/>
      <c r="H36" s="190"/>
      <c r="I36" s="36"/>
      <c r="J36" s="189"/>
      <c r="K36" s="36"/>
      <c r="L36" s="182"/>
      <c r="N36" s="47"/>
    </row>
    <row r="37" spans="2:14" ht="24.6" customHeight="1">
      <c r="B37" s="171">
        <f t="shared" si="0"/>
        <v>0</v>
      </c>
      <c r="F37" s="138"/>
      <c r="H37" s="190"/>
      <c r="I37" s="36"/>
      <c r="J37" s="138"/>
      <c r="K37" s="16"/>
      <c r="L37" s="179"/>
    </row>
    <row r="38" spans="2:14" ht="24.6" customHeight="1">
      <c r="B38" s="171">
        <f t="shared" si="0"/>
        <v>0</v>
      </c>
      <c r="F38" s="138"/>
      <c r="H38" s="43"/>
      <c r="I38" s="36"/>
      <c r="J38" s="138"/>
      <c r="K38" s="16"/>
      <c r="L38" s="179"/>
    </row>
    <row r="39" spans="2:14" ht="24.6" customHeight="1">
      <c r="B39" s="171">
        <f t="shared" si="0"/>
        <v>0</v>
      </c>
      <c r="F39" s="139"/>
      <c r="H39" s="43"/>
      <c r="I39" s="36"/>
      <c r="J39" s="139"/>
      <c r="K39" s="16"/>
      <c r="L39" s="179"/>
    </row>
    <row r="40" spans="2:14" ht="24.6" customHeight="1">
      <c r="B40" s="171">
        <f t="shared" si="0"/>
        <v>0</v>
      </c>
      <c r="F40" s="43"/>
      <c r="G40" s="36"/>
      <c r="H40" s="43"/>
      <c r="I40" s="36"/>
      <c r="J40" s="43"/>
      <c r="K40" s="36"/>
      <c r="L40" s="179"/>
    </row>
    <row r="41" spans="2:14" ht="24.6" customHeight="1">
      <c r="B41" s="171">
        <f t="shared" si="0"/>
        <v>0</v>
      </c>
      <c r="D41" s="48"/>
      <c r="E41" s="48"/>
      <c r="F41" s="49"/>
      <c r="G41" s="50"/>
      <c r="H41" s="51"/>
      <c r="I41" s="36"/>
      <c r="L41" s="179"/>
    </row>
    <row r="42" spans="2:14" ht="24.6" customHeight="1">
      <c r="B42" s="171">
        <f t="shared" si="0"/>
        <v>0</v>
      </c>
      <c r="D42" s="39"/>
      <c r="E42" s="39"/>
      <c r="F42" s="37"/>
      <c r="G42" s="36"/>
      <c r="H42" s="43"/>
      <c r="I42" s="36"/>
      <c r="L42" s="179"/>
    </row>
    <row r="43" spans="2:14" ht="24.6" customHeight="1"/>
  </sheetData>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8197" r:id="rId3" name="Check Box 5">
              <controlPr defaultSize="0" autoFill="0" autoLine="0" autoPict="0" altText=" Tick for Carbon Price to be included">
                <anchor moveWithCells="1">
                  <from>
                    <xdr:col>9</xdr:col>
                    <xdr:colOff>342900</xdr:colOff>
                    <xdr:row>15</xdr:row>
                    <xdr:rowOff>120650</xdr:rowOff>
                  </from>
                  <to>
                    <xdr:col>11</xdr:col>
                    <xdr:colOff>692150</xdr:colOff>
                    <xdr:row>15</xdr:row>
                    <xdr:rowOff>381000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C2FE57-DCEA-45DB-B807-77D070318E8D}">
  <sheetPr>
    <tabColor theme="4" tint="-0.249977111117893"/>
  </sheetPr>
  <dimension ref="A1:AG56"/>
  <sheetViews>
    <sheetView topLeftCell="A13" workbookViewId="0">
      <selection activeCell="G37" sqref="G37"/>
    </sheetView>
  </sheetViews>
  <sheetFormatPr defaultColWidth="8.7109375" defaultRowHeight="14.1"/>
  <cols>
    <col min="1" max="1" width="3.85546875" style="246" customWidth="1"/>
    <col min="2" max="2" width="14.28515625" style="249" hidden="1" customWidth="1"/>
    <col min="3" max="3" width="8.7109375" style="15"/>
    <col min="4" max="4" width="11.42578125" style="15" customWidth="1"/>
    <col min="5" max="5" width="62.28515625" style="15" customWidth="1"/>
    <col min="6" max="6" width="31.42578125" style="15" customWidth="1"/>
    <col min="7" max="7" width="9.28515625" style="196" customWidth="1"/>
    <col min="8" max="8" width="9.42578125" style="15" bestFit="1" customWidth="1"/>
    <col min="9" max="9" width="76.5703125" style="15" customWidth="1"/>
    <col min="10" max="10" width="9.42578125" style="15" bestFit="1" customWidth="1"/>
    <col min="11" max="14" width="8.7109375" style="15"/>
    <col min="15" max="15" width="12" style="15" customWidth="1"/>
    <col min="16" max="16384" width="8.7109375" style="15"/>
  </cols>
  <sheetData>
    <row r="1" spans="1:33" s="247" customFormat="1">
      <c r="A1" s="246"/>
      <c r="B1" s="249"/>
      <c r="G1" s="276"/>
    </row>
    <row r="2" spans="1:33" ht="24.6" customHeight="1">
      <c r="B2" s="249" t="str">
        <f>'1. Choose State'!K4</f>
        <v>NEM</v>
      </c>
      <c r="Y2" s="17"/>
    </row>
    <row r="3" spans="1:33" ht="24.6" customHeight="1">
      <c r="O3" s="17"/>
      <c r="P3" s="18"/>
      <c r="Q3" s="18"/>
      <c r="R3" s="18"/>
      <c r="S3" s="18"/>
      <c r="X3" s="19"/>
    </row>
    <row r="4" spans="1:33" ht="24.95" customHeight="1">
      <c r="D4" s="183" t="s">
        <v>300</v>
      </c>
      <c r="E4" s="183"/>
      <c r="F4" s="127"/>
      <c r="M4" s="19"/>
      <c r="N4" s="19"/>
      <c r="O4" s="19"/>
      <c r="P4" s="19"/>
      <c r="Q4" s="19"/>
      <c r="R4" s="19"/>
      <c r="S4" s="19"/>
      <c r="T4" s="19"/>
      <c r="U4" s="19"/>
      <c r="V4" s="19"/>
      <c r="W4" s="19"/>
      <c r="X4" s="19"/>
    </row>
    <row r="5" spans="1:33" ht="36.6" customHeight="1">
      <c r="B5" s="249">
        <v>2</v>
      </c>
      <c r="D5" s="262" t="s">
        <v>301</v>
      </c>
      <c r="E5" s="262"/>
      <c r="F5" s="261"/>
      <c r="G5" s="268"/>
      <c r="H5" s="288"/>
      <c r="I5" s="288"/>
      <c r="M5" s="19"/>
      <c r="N5" s="19"/>
      <c r="O5" s="19"/>
      <c r="P5" s="19"/>
      <c r="Q5" s="19"/>
      <c r="R5" s="19"/>
      <c r="S5" s="19"/>
      <c r="T5" s="19"/>
      <c r="U5" s="19"/>
      <c r="V5" s="19"/>
      <c r="W5" s="19"/>
      <c r="X5" s="19"/>
    </row>
    <row r="6" spans="1:33" ht="36.6" customHeight="1">
      <c r="B6" s="249">
        <v>2</v>
      </c>
      <c r="D6" s="21" t="s">
        <v>302</v>
      </c>
      <c r="E6" s="21"/>
      <c r="F6" s="127"/>
      <c r="M6" s="19"/>
      <c r="N6" s="19"/>
      <c r="O6" s="19"/>
      <c r="P6" s="19"/>
      <c r="Q6" s="19"/>
      <c r="R6" s="19"/>
      <c r="S6" s="19"/>
      <c r="T6" s="19"/>
      <c r="U6" s="19"/>
      <c r="V6" s="19"/>
      <c r="W6" s="19"/>
      <c r="X6" s="19"/>
    </row>
    <row r="7" spans="1:33" ht="36.6" customHeight="1">
      <c r="B7" s="249" t="b">
        <v>1</v>
      </c>
      <c r="D7" s="262" t="s">
        <v>303</v>
      </c>
      <c r="E7" s="262"/>
      <c r="F7" s="266" t="s">
        <v>304</v>
      </c>
      <c r="G7" s="268"/>
      <c r="H7" s="288"/>
      <c r="I7" s="288"/>
      <c r="M7" s="19"/>
      <c r="N7" s="19"/>
      <c r="O7" s="19"/>
      <c r="P7" s="19"/>
      <c r="Q7" s="19"/>
      <c r="R7" s="19"/>
      <c r="S7" s="19"/>
      <c r="T7" s="19"/>
      <c r="U7" s="19"/>
      <c r="V7" s="19"/>
      <c r="W7" s="19"/>
      <c r="X7" s="19"/>
    </row>
    <row r="8" spans="1:33" ht="36.6" customHeight="1">
      <c r="B8" s="249" t="b">
        <v>1</v>
      </c>
      <c r="D8" s="21" t="s">
        <v>305</v>
      </c>
      <c r="E8" s="21"/>
      <c r="F8" s="30" t="s">
        <v>304</v>
      </c>
      <c r="M8" s="19"/>
      <c r="N8" s="19"/>
      <c r="O8" s="19"/>
      <c r="P8" s="19"/>
      <c r="Q8" s="19"/>
      <c r="R8" s="19"/>
      <c r="S8" s="19"/>
      <c r="T8" s="19"/>
      <c r="U8" s="19"/>
      <c r="V8" s="19"/>
      <c r="W8" s="19"/>
      <c r="X8" s="19"/>
    </row>
    <row r="9" spans="1:33" ht="36.6" customHeight="1" thickBot="1">
      <c r="D9" s="262" t="s">
        <v>306</v>
      </c>
      <c r="E9" s="263"/>
      <c r="F9" s="269">
        <f>SUM(F10:F12)</f>
        <v>1</v>
      </c>
      <c r="G9" s="268"/>
      <c r="H9" s="288"/>
      <c r="I9" s="277" t="s">
        <v>307</v>
      </c>
      <c r="M9" s="19"/>
      <c r="N9" s="19"/>
      <c r="O9" s="19"/>
      <c r="P9" s="19"/>
      <c r="Q9" s="19"/>
      <c r="R9" s="19"/>
      <c r="S9" s="19"/>
      <c r="T9" s="19"/>
      <c r="U9" s="19"/>
      <c r="V9" s="19"/>
      <c r="W9" s="19"/>
      <c r="X9" s="19"/>
    </row>
    <row r="10" spans="1:33" s="192" customFormat="1" ht="26.1" customHeight="1" thickBot="1">
      <c r="A10" s="265"/>
      <c r="B10" s="272">
        <f>F10</f>
        <v>0</v>
      </c>
      <c r="D10" s="96"/>
      <c r="E10" s="96" t="s">
        <v>308</v>
      </c>
      <c r="F10" s="270">
        <v>0</v>
      </c>
      <c r="G10" s="196"/>
      <c r="M10" s="255"/>
      <c r="N10" s="255"/>
      <c r="O10" s="255"/>
      <c r="P10" s="255"/>
      <c r="Q10" s="255"/>
      <c r="R10" s="255"/>
      <c r="S10" s="255"/>
      <c r="T10" s="255"/>
      <c r="U10" s="255"/>
      <c r="V10" s="255"/>
      <c r="W10" s="255"/>
      <c r="X10" s="255"/>
    </row>
    <row r="11" spans="1:33" s="192" customFormat="1" ht="26.1" customHeight="1" thickBot="1">
      <c r="A11" s="265"/>
      <c r="B11" s="272">
        <f t="shared" ref="B11" si="0">F11</f>
        <v>0</v>
      </c>
      <c r="D11" s="267"/>
      <c r="E11" s="267" t="s">
        <v>309</v>
      </c>
      <c r="F11" s="271">
        <v>0</v>
      </c>
      <c r="G11" s="268"/>
      <c r="H11" s="297"/>
      <c r="I11" s="297"/>
      <c r="M11" s="255"/>
      <c r="N11" s="255"/>
      <c r="O11" s="255"/>
      <c r="P11" s="255"/>
      <c r="Q11" s="255"/>
      <c r="R11" s="255"/>
      <c r="S11" s="255"/>
      <c r="T11" s="255"/>
      <c r="U11" s="255"/>
      <c r="V11" s="255"/>
      <c r="W11" s="255"/>
      <c r="X11" s="255"/>
    </row>
    <row r="12" spans="1:33" s="192" customFormat="1" ht="26.1" customHeight="1" thickBot="1">
      <c r="A12" s="265"/>
      <c r="B12" s="272">
        <f>1-B11-B10</f>
        <v>1</v>
      </c>
      <c r="D12" s="96"/>
      <c r="E12" s="96" t="s">
        <v>310</v>
      </c>
      <c r="F12" s="270">
        <v>1</v>
      </c>
      <c r="G12" s="196"/>
      <c r="M12" s="255"/>
      <c r="N12" s="255"/>
      <c r="O12" s="255"/>
      <c r="P12" s="255"/>
      <c r="Q12" s="255"/>
      <c r="R12" s="255"/>
      <c r="S12" s="255"/>
      <c r="T12" s="255"/>
      <c r="U12" s="255"/>
      <c r="V12" s="255"/>
      <c r="W12" s="255"/>
      <c r="X12" s="255"/>
    </row>
    <row r="13" spans="1:33" s="21" customFormat="1" ht="39.6" customHeight="1">
      <c r="A13" s="248"/>
      <c r="B13" s="250">
        <v>2</v>
      </c>
      <c r="D13" s="262" t="s">
        <v>311</v>
      </c>
      <c r="E13" s="264"/>
      <c r="F13" s="273"/>
      <c r="G13" s="262"/>
      <c r="H13" s="262"/>
      <c r="I13" s="278" t="s">
        <v>312</v>
      </c>
      <c r="K13" s="25"/>
      <c r="L13" s="26"/>
      <c r="M13" s="26"/>
      <c r="O13" s="27"/>
      <c r="P13" s="28"/>
      <c r="Q13" s="28"/>
      <c r="R13" s="28"/>
      <c r="S13" s="28"/>
      <c r="T13" s="28"/>
      <c r="U13" s="29"/>
      <c r="Y13" s="30"/>
      <c r="Z13" s="30"/>
      <c r="AA13" s="30"/>
      <c r="AB13" s="30"/>
      <c r="AC13" s="31"/>
      <c r="AD13" s="30"/>
      <c r="AE13" s="30"/>
      <c r="AF13" s="30"/>
      <c r="AG13" s="30"/>
    </row>
    <row r="14" spans="1:33" s="21" customFormat="1" ht="41.1" customHeight="1">
      <c r="A14" s="248"/>
      <c r="B14" s="250"/>
      <c r="D14" s="183" t="s">
        <v>313</v>
      </c>
      <c r="E14" s="96"/>
      <c r="F14" s="286" t="s">
        <v>314</v>
      </c>
      <c r="G14" s="174"/>
      <c r="I14" s="22"/>
      <c r="K14" s="25"/>
      <c r="L14" s="26"/>
      <c r="M14" s="26"/>
      <c r="O14" s="27"/>
      <c r="P14" s="28"/>
      <c r="Q14" s="28"/>
      <c r="R14" s="28"/>
      <c r="S14" s="28"/>
      <c r="T14" s="28"/>
      <c r="U14" s="29"/>
      <c r="Y14" s="30"/>
      <c r="Z14" s="23"/>
      <c r="AA14" s="23"/>
      <c r="AB14" s="23"/>
      <c r="AC14" s="31"/>
      <c r="AD14" s="23"/>
      <c r="AE14" s="23"/>
      <c r="AF14" s="30"/>
      <c r="AG14" s="23"/>
    </row>
    <row r="15" spans="1:33" s="21" customFormat="1" ht="24.6" customHeight="1">
      <c r="A15" s="248"/>
      <c r="B15" s="250"/>
      <c r="D15" s="262" t="s">
        <v>315</v>
      </c>
      <c r="E15" s="262"/>
      <c r="F15" s="318">
        <f>Lookups!M99</f>
        <v>364.55813541929433</v>
      </c>
      <c r="G15" s="275" t="s">
        <v>316</v>
      </c>
      <c r="H15" s="262"/>
      <c r="I15" s="274"/>
      <c r="K15" s="25"/>
      <c r="L15" s="26"/>
      <c r="M15" s="26"/>
      <c r="O15" s="27"/>
      <c r="P15" s="28"/>
      <c r="Q15" s="28"/>
      <c r="R15" s="28"/>
      <c r="S15" s="28"/>
      <c r="T15" s="28"/>
      <c r="U15" s="29"/>
      <c r="Y15" s="30"/>
      <c r="Z15" s="23"/>
      <c r="AA15" s="23"/>
      <c r="AB15" s="23"/>
      <c r="AC15" s="31"/>
      <c r="AD15" s="23"/>
      <c r="AE15" s="23"/>
      <c r="AF15" s="30"/>
      <c r="AG15" s="23"/>
    </row>
    <row r="16" spans="1:33" s="21" customFormat="1" ht="24.6" customHeight="1">
      <c r="A16" s="248"/>
      <c r="B16" s="250"/>
      <c r="D16" s="21" t="str">
        <f>IF(OR(B5=1,B5=3),"Demand charge","")</f>
        <v/>
      </c>
      <c r="F16" s="291" t="str">
        <f>IF(OR(B5=1,B5=3),Lookups!M100,"")</f>
        <v/>
      </c>
      <c r="G16" s="133" t="str">
        <f>IF(D16="Demand Charge","$/year/kW at peak co-incident demand time","")</f>
        <v/>
      </c>
      <c r="I16" s="22"/>
      <c r="K16" s="25"/>
      <c r="L16" s="26"/>
      <c r="M16" s="26"/>
      <c r="O16" s="27"/>
      <c r="P16" s="28"/>
      <c r="Q16" s="28"/>
      <c r="R16" s="28"/>
      <c r="S16" s="28"/>
      <c r="T16" s="28"/>
      <c r="U16" s="29"/>
      <c r="Y16" s="30"/>
      <c r="Z16" s="23"/>
      <c r="AA16" s="23"/>
      <c r="AB16" s="23"/>
      <c r="AC16" s="31"/>
      <c r="AD16" s="23"/>
      <c r="AE16" s="23"/>
      <c r="AF16" s="30"/>
      <c r="AG16" s="23"/>
    </row>
    <row r="17" spans="1:33" s="21" customFormat="1" ht="24.6" customHeight="1">
      <c r="A17" s="248"/>
      <c r="B17" s="250"/>
      <c r="D17" s="262" t="str" cm="1">
        <f t="array" ref="D17">IF(OR(B5=2,B5=3),CONCATENATE("Peak usage charge during top ",_xlfn.SWITCH(B6,1,10,2,100,3,500)," hours of the year"),"")</f>
        <v>Peak usage charge during top 100 hours of the year</v>
      </c>
      <c r="E17" s="287"/>
      <c r="F17" s="290">
        <f>IF(OR(B5=2,B5=3),Lookups!M101/10,"")</f>
        <v>309.06324966795694</v>
      </c>
      <c r="G17" s="289" t="str">
        <f>IF(OR(B5=2,B5=3),"c/kWh","")</f>
        <v>c/kWh</v>
      </c>
      <c r="H17" s="262"/>
      <c r="I17" s="274"/>
      <c r="K17" s="25"/>
      <c r="L17" s="26"/>
      <c r="M17" s="26"/>
      <c r="O17" s="27"/>
      <c r="P17" s="28"/>
      <c r="Q17" s="28"/>
      <c r="R17" s="28"/>
      <c r="S17" s="28"/>
      <c r="T17" s="28"/>
      <c r="U17" s="29"/>
      <c r="Y17" s="30"/>
      <c r="Z17" s="23"/>
      <c r="AA17" s="23"/>
      <c r="AB17" s="23"/>
      <c r="AC17" s="31"/>
      <c r="AD17" s="23"/>
      <c r="AE17" s="23"/>
      <c r="AF17" s="30"/>
      <c r="AG17" s="23"/>
    </row>
    <row r="18" spans="1:33" s="21" customFormat="1" ht="24.6" customHeight="1">
      <c r="A18" s="248"/>
      <c r="B18" s="250"/>
      <c r="D18" s="21" t="str">
        <f>IF(B7,"Main tariff targeted at fossil fuel times","Main Tariff")</f>
        <v>Main tariff targeted at fossil fuel times</v>
      </c>
      <c r="F18" s="293">
        <f>Lookups!M102/10</f>
        <v>24.460191687177236</v>
      </c>
      <c r="G18" s="294" t="s">
        <v>317</v>
      </c>
      <c r="I18" s="22"/>
      <c r="L18" s="26"/>
      <c r="M18" s="26"/>
      <c r="O18" s="27"/>
      <c r="P18" s="28"/>
      <c r="Q18" s="28"/>
      <c r="R18" s="28"/>
      <c r="S18" s="28"/>
      <c r="T18" s="28"/>
      <c r="U18" s="29"/>
      <c r="Y18" s="30"/>
      <c r="Z18" s="23"/>
      <c r="AA18" s="23"/>
      <c r="AB18" s="23"/>
      <c r="AC18" s="31"/>
      <c r="AD18" s="23"/>
      <c r="AE18" s="23"/>
      <c r="AF18" s="30"/>
      <c r="AG18" s="23"/>
    </row>
    <row r="19" spans="1:33" s="21" customFormat="1" ht="24.6" customHeight="1">
      <c r="A19" s="248"/>
      <c r="B19" s="250"/>
      <c r="D19" s="262" t="str">
        <f>IF(B7,"Solar sponge tariff","")</f>
        <v>Solar sponge tariff</v>
      </c>
      <c r="E19" s="262"/>
      <c r="F19" s="290">
        <f>IF(B7,Lookups!M103/10,"")</f>
        <v>5.4836541622790911</v>
      </c>
      <c r="G19" s="289" t="str">
        <f>IF(B7,"c/kWh","")</f>
        <v>c/kWh</v>
      </c>
      <c r="H19" s="306"/>
      <c r="I19" s="274"/>
      <c r="J19" s="29"/>
      <c r="L19" s="26"/>
      <c r="M19" s="26"/>
      <c r="O19" s="27"/>
      <c r="P19" s="28"/>
      <c r="Q19" s="28"/>
      <c r="R19" s="28"/>
      <c r="S19" s="28"/>
      <c r="T19" s="28"/>
      <c r="U19" s="29"/>
      <c r="Y19" s="30"/>
      <c r="Z19" s="23"/>
      <c r="AA19" s="23"/>
      <c r="AB19" s="23"/>
      <c r="AC19" s="31"/>
      <c r="AD19" s="23"/>
      <c r="AE19" s="23"/>
      <c r="AF19" s="30"/>
      <c r="AG19" s="23"/>
    </row>
    <row r="20" spans="1:33" s="21" customFormat="1" ht="24.6" customHeight="1">
      <c r="A20" s="248"/>
      <c r="B20" s="250"/>
      <c r="D20" s="21" t="str">
        <f>IF(B8,"Flexible load tariff","")</f>
        <v>Flexible load tariff</v>
      </c>
      <c r="F20" s="293">
        <f>IF(B8,Lookups!M104/10,"")</f>
        <v>5.4836541622790911</v>
      </c>
      <c r="G20" s="294" t="str">
        <f>IF(B8,"c/kWh","")</f>
        <v>c/kWh</v>
      </c>
      <c r="I20" s="22"/>
      <c r="L20" s="26"/>
      <c r="M20" s="26"/>
      <c r="O20" s="27"/>
      <c r="P20" s="28"/>
      <c r="Q20" s="28"/>
      <c r="R20" s="28"/>
      <c r="S20" s="28"/>
      <c r="T20" s="28"/>
      <c r="U20" s="29"/>
      <c r="Y20" s="30"/>
      <c r="Z20" s="23"/>
      <c r="AA20" s="23"/>
      <c r="AB20" s="23"/>
      <c r="AC20" s="31"/>
      <c r="AD20" s="23"/>
      <c r="AE20" s="23"/>
      <c r="AF20" s="30"/>
      <c r="AG20" s="23"/>
    </row>
    <row r="21" spans="1:33" s="21" customFormat="1" ht="23.45" customHeight="1">
      <c r="A21" s="248"/>
      <c r="B21" s="250"/>
      <c r="E21" s="15"/>
      <c r="F21" s="129"/>
      <c r="G21" s="22"/>
      <c r="I21" s="22"/>
      <c r="L21" s="26"/>
      <c r="M21" s="26"/>
      <c r="O21" s="27"/>
      <c r="P21" s="28"/>
      <c r="Q21" s="28"/>
      <c r="R21" s="28"/>
      <c r="S21" s="28"/>
      <c r="T21" s="28"/>
      <c r="U21" s="29"/>
      <c r="Y21" s="30"/>
      <c r="Z21" s="23"/>
      <c r="AA21" s="23"/>
      <c r="AB21" s="23"/>
      <c r="AC21" s="31"/>
      <c r="AD21" s="23"/>
      <c r="AE21" s="23"/>
      <c r="AF21" s="30"/>
      <c r="AG21" s="23"/>
    </row>
    <row r="22" spans="1:33" s="21" customFormat="1" ht="24.6" customHeight="1">
      <c r="A22" s="248"/>
      <c r="B22" s="250"/>
      <c r="D22" s="301" t="s">
        <v>318</v>
      </c>
      <c r="E22" s="299"/>
      <c r="F22" s="300" t="s">
        <v>319</v>
      </c>
      <c r="G22" s="174" t="s">
        <v>320</v>
      </c>
      <c r="H22" s="174" t="s">
        <v>321</v>
      </c>
      <c r="L22" s="26"/>
      <c r="M22" s="26"/>
      <c r="O22" s="27"/>
      <c r="P22" s="28"/>
      <c r="Q22" s="28"/>
      <c r="R22" s="28"/>
      <c r="S22" s="28"/>
      <c r="T22" s="28"/>
      <c r="U22" s="29"/>
      <c r="Y22" s="30"/>
      <c r="Z22" s="23"/>
      <c r="AA22" s="23"/>
      <c r="AB22" s="23"/>
      <c r="AC22" s="31"/>
      <c r="AD22" s="23"/>
      <c r="AE22" s="23"/>
      <c r="AF22" s="30"/>
      <c r="AG22" s="23"/>
    </row>
    <row r="23" spans="1:33" s="21" customFormat="1" ht="24.6" customHeight="1">
      <c r="A23" s="248"/>
      <c r="B23" s="250"/>
      <c r="D23" s="127" t="s">
        <v>322</v>
      </c>
      <c r="E23" s="15"/>
      <c r="F23" s="305">
        <f>'1. Choose State'!D7</f>
        <v>1784.1421211554439</v>
      </c>
      <c r="G23" s="305">
        <f>'1. Choose State'!E4</f>
        <v>333.37826101697954</v>
      </c>
      <c r="H23" s="305">
        <f>'1. Choose State'!D7/'1. Choose State'!D12</f>
        <v>1030.286370083687</v>
      </c>
      <c r="I23" s="22"/>
      <c r="L23" s="26"/>
      <c r="M23" s="26"/>
      <c r="O23" s="27"/>
      <c r="P23" s="28"/>
      <c r="Q23" s="28"/>
      <c r="R23" s="28"/>
      <c r="S23" s="28"/>
      <c r="T23" s="28"/>
      <c r="U23" s="29"/>
      <c r="Y23" s="30"/>
      <c r="Z23" s="23"/>
      <c r="AA23" s="23"/>
      <c r="AB23" s="23"/>
      <c r="AC23" s="31"/>
      <c r="AD23" s="23"/>
      <c r="AE23" s="23"/>
      <c r="AF23" s="30"/>
      <c r="AG23" s="23"/>
    </row>
    <row r="24" spans="1:33" s="21" customFormat="1" ht="24.6" customHeight="1">
      <c r="A24" s="248"/>
      <c r="B24" s="250"/>
      <c r="D24" s="127" t="s">
        <v>323</v>
      </c>
      <c r="E24" s="15"/>
      <c r="F24" s="305">
        <f>'1. Choose State'!G7</f>
        <v>1784.1421211554439</v>
      </c>
      <c r="G24" s="305">
        <f>'1. Choose State'!G4</f>
        <v>333.37826101697954</v>
      </c>
      <c r="H24" s="305">
        <f>'1. Choose State'!G7/'1. Choose State'!F12</f>
        <v>1030.286370083687</v>
      </c>
      <c r="I24" s="22"/>
      <c r="L24" s="26"/>
      <c r="M24" s="26"/>
      <c r="O24" s="27"/>
      <c r="P24" s="28"/>
      <c r="Q24" s="28"/>
      <c r="R24" s="28"/>
      <c r="S24" s="28"/>
      <c r="T24" s="28"/>
      <c r="U24" s="29"/>
      <c r="Y24" s="30"/>
      <c r="Z24" s="23"/>
      <c r="AA24" s="23"/>
      <c r="AB24" s="23"/>
      <c r="AC24" s="31"/>
      <c r="AD24" s="23"/>
      <c r="AE24" s="23"/>
      <c r="AF24" s="30"/>
      <c r="AG24" s="23"/>
    </row>
    <row r="25" spans="1:33" s="21" customFormat="1" ht="24.6" customHeight="1">
      <c r="A25" s="248"/>
      <c r="B25" s="250"/>
      <c r="D25" s="127" t="s">
        <v>324</v>
      </c>
      <c r="E25" s="15"/>
      <c r="F25" s="305">
        <f>F31</f>
        <v>1784.1421211554441</v>
      </c>
      <c r="G25" s="305">
        <f>F25/'1. Choose State'!F10*1000</f>
        <v>333.37826101697959</v>
      </c>
      <c r="H25" s="305">
        <f>F25/'1. Choose State'!F12</f>
        <v>1030.2863700836872</v>
      </c>
      <c r="I25" s="22"/>
      <c r="L25" s="26"/>
      <c r="M25" s="26"/>
      <c r="O25" s="27"/>
      <c r="P25" s="28"/>
      <c r="Q25" s="28"/>
      <c r="R25" s="28"/>
      <c r="S25" s="28"/>
      <c r="T25" s="28"/>
      <c r="U25" s="29"/>
      <c r="Y25" s="30"/>
      <c r="Z25" s="23"/>
      <c r="AA25" s="23"/>
      <c r="AB25" s="23"/>
      <c r="AC25" s="31"/>
      <c r="AD25" s="23"/>
      <c r="AE25" s="23"/>
      <c r="AF25" s="30"/>
      <c r="AG25" s="23"/>
    </row>
    <row r="28" spans="1:33" s="21" customFormat="1" ht="24.6" customHeight="1">
      <c r="A28" s="248"/>
      <c r="B28" s="250"/>
      <c r="D28" s="183"/>
      <c r="E28" s="15"/>
      <c r="F28" s="129"/>
      <c r="G28" s="22"/>
      <c r="I28" s="22"/>
      <c r="L28" s="26"/>
      <c r="M28" s="26"/>
      <c r="O28" s="27"/>
      <c r="P28" s="28"/>
      <c r="Q28" s="28"/>
      <c r="R28" s="28"/>
      <c r="S28" s="28"/>
      <c r="T28" s="28"/>
      <c r="U28" s="29"/>
      <c r="Y28" s="30"/>
      <c r="Z28" s="23"/>
      <c r="AA28" s="23"/>
      <c r="AB28" s="23"/>
      <c r="AC28" s="31"/>
      <c r="AD28" s="23"/>
      <c r="AE28" s="23"/>
      <c r="AF28" s="30"/>
      <c r="AG28" s="23"/>
    </row>
    <row r="29" spans="1:33" s="21" customFormat="1" ht="24.6" customHeight="1">
      <c r="A29" s="248"/>
      <c r="B29" s="250"/>
      <c r="D29" s="183" t="s">
        <v>325</v>
      </c>
      <c r="E29" s="15"/>
      <c r="F29" s="340" t="s">
        <v>326</v>
      </c>
      <c r="G29" s="22"/>
      <c r="I29" s="176" t="s">
        <v>327</v>
      </c>
      <c r="L29" s="26"/>
      <c r="M29" s="26"/>
      <c r="O29" s="27"/>
      <c r="P29" s="28"/>
      <c r="Q29" s="28"/>
      <c r="R29" s="28"/>
      <c r="S29" s="28"/>
      <c r="T29" s="28"/>
      <c r="U29" s="29"/>
      <c r="Y29" s="30"/>
      <c r="Z29" s="23"/>
      <c r="AA29" s="23"/>
      <c r="AB29" s="23"/>
      <c r="AC29" s="31"/>
      <c r="AD29" s="23"/>
      <c r="AE29" s="23"/>
      <c r="AF29" s="30"/>
      <c r="AG29" s="23"/>
    </row>
    <row r="30" spans="1:33" s="21" customFormat="1" ht="24.6" customHeight="1">
      <c r="A30" s="248"/>
      <c r="B30" s="320">
        <f>Lookups!F121/10</f>
        <v>26.52582632967485</v>
      </c>
      <c r="E30" s="15"/>
      <c r="F30" s="174" t="s">
        <v>328</v>
      </c>
      <c r="G30" s="174" t="s">
        <v>320</v>
      </c>
      <c r="H30" s="174" t="s">
        <v>321</v>
      </c>
      <c r="I30" s="307" t="str">
        <f>CONCATENATE("Taking your fixed charges and applying the rest of the costs via a flat tariff of ",ROUND(B30,0)," c/kWh.")</f>
        <v>Taking your fixed charges and applying the rest of the costs via a flat tariff of 27 c/kWh.</v>
      </c>
      <c r="L30" s="26"/>
      <c r="M30" s="26"/>
      <c r="O30" s="27"/>
      <c r="P30" s="28"/>
      <c r="Q30" s="28"/>
      <c r="R30" s="28"/>
      <c r="S30" s="28"/>
      <c r="T30" s="28"/>
      <c r="U30" s="29"/>
      <c r="Y30" s="30"/>
      <c r="Z30" s="23"/>
      <c r="AA30" s="23"/>
      <c r="AB30" s="23"/>
      <c r="AC30" s="31"/>
      <c r="AD30" s="23"/>
      <c r="AE30" s="23"/>
      <c r="AF30" s="30"/>
      <c r="AG30" s="23"/>
    </row>
    <row r="31" spans="1:33" ht="24.6" customHeight="1">
      <c r="B31" s="250"/>
      <c r="D31" s="21" t="str">
        <f>'Different homes'!C5</f>
        <v>Reference household</v>
      </c>
      <c r="F31" s="305">
        <f>'Different homes'!AW5</f>
        <v>1784.1421211554441</v>
      </c>
      <c r="G31" s="305">
        <f>'Different homes'!AX5</f>
        <v>333.37826101697959</v>
      </c>
      <c r="H31" s="305">
        <f>'Different homes'!AY5</f>
        <v>1030.2863700836872</v>
      </c>
      <c r="I31" s="22" t="str">
        <f>'Different homes'!BC5</f>
        <v>same</v>
      </c>
      <c r="L31" s="26"/>
      <c r="M31" s="26"/>
      <c r="N31" s="21"/>
      <c r="O31" s="27"/>
      <c r="P31" s="28"/>
      <c r="Q31" s="28"/>
      <c r="R31" s="28"/>
      <c r="S31" s="28"/>
      <c r="T31" s="28"/>
      <c r="U31" s="29"/>
      <c r="X31" s="21"/>
      <c r="Y31" s="30"/>
      <c r="Z31" s="23"/>
      <c r="AA31" s="23"/>
      <c r="AB31" s="23"/>
      <c r="AC31" s="31"/>
      <c r="AD31" s="23"/>
      <c r="AE31" s="23"/>
      <c r="AF31" s="30"/>
      <c r="AG31" s="23"/>
    </row>
    <row r="32" spans="1:33" ht="24.6" customHeight="1">
      <c r="B32" s="250"/>
      <c r="D32" s="21" t="str">
        <f>'Different homes'!C6</f>
        <v>average solar home</v>
      </c>
      <c r="F32" s="305">
        <f>'Different homes'!AW6</f>
        <v>1711.6329824324957</v>
      </c>
      <c r="G32" s="305">
        <f>'Different homes'!AX6</f>
        <v>433.77174062129541</v>
      </c>
      <c r="H32" s="305">
        <f>'Different homes'!AY6</f>
        <v>988.41460636769989</v>
      </c>
      <c r="I32" s="22" t="str">
        <f>'Different homes'!BC6</f>
        <v>paying $300 less (too little)</v>
      </c>
      <c r="L32" s="26"/>
      <c r="M32" s="26"/>
      <c r="N32" s="21"/>
      <c r="O32" s="27"/>
      <c r="P32" s="28"/>
      <c r="Q32" s="28"/>
      <c r="R32" s="28"/>
      <c r="S32" s="28"/>
      <c r="T32" s="28"/>
      <c r="U32" s="29"/>
      <c r="X32" s="21"/>
      <c r="Y32" s="30"/>
      <c r="Z32" s="23"/>
      <c r="AA32" s="23"/>
      <c r="AB32" s="23"/>
      <c r="AC32" s="31"/>
      <c r="AD32" s="23"/>
      <c r="AE32" s="23"/>
      <c r="AF32" s="30"/>
      <c r="AG32" s="23"/>
    </row>
    <row r="33" spans="2:33" ht="24.6" customHeight="1">
      <c r="B33" s="250"/>
      <c r="D33" s="21" t="str">
        <f>'Different homes'!C7</f>
        <v>average non-solar home</v>
      </c>
      <c r="F33" s="305">
        <f>'Different homes'!AW7</f>
        <v>1832.0417917379555</v>
      </c>
      <c r="G33" s="305">
        <f>'Different homes'!AX7</f>
        <v>303.0206686559136</v>
      </c>
      <c r="H33" s="305">
        <f>'Different homes'!AY7</f>
        <v>1057.9469343108799</v>
      </c>
      <c r="I33" s="22" t="str">
        <f>'Different homes'!BC7</f>
        <v>paying $136 more (too much)</v>
      </c>
      <c r="L33" s="26"/>
      <c r="M33" s="26"/>
      <c r="N33" s="21"/>
      <c r="O33" s="27"/>
      <c r="P33" s="28"/>
      <c r="Q33" s="28"/>
      <c r="R33" s="28"/>
      <c r="S33" s="28"/>
      <c r="T33" s="28"/>
      <c r="U33" s="29"/>
      <c r="X33" s="21"/>
      <c r="Y33" s="30"/>
      <c r="Z33" s="23"/>
      <c r="AA33" s="23"/>
      <c r="AB33" s="23"/>
      <c r="AC33" s="31"/>
      <c r="AD33" s="23"/>
      <c r="AE33" s="23"/>
      <c r="AF33" s="30"/>
      <c r="AG33" s="23"/>
    </row>
    <row r="34" spans="2:33" ht="24.6" customHeight="1">
      <c r="B34" s="250"/>
      <c r="D34" s="21" t="str">
        <f>'Different homes'!C8</f>
        <v>average gas home</v>
      </c>
      <c r="F34" s="305">
        <f>'Different homes'!AW8</f>
        <v>1263.9281196682193</v>
      </c>
      <c r="G34" s="305">
        <f>'Different homes'!AX8</f>
        <v>361.12231990520553</v>
      </c>
      <c r="H34" s="305">
        <f>'Different homes'!AY8</f>
        <v>1328.2267885466895</v>
      </c>
      <c r="I34" s="22" t="str">
        <f>'Different homes'!BC8</f>
        <v>paying $29 more (too much)</v>
      </c>
    </row>
    <row r="35" spans="2:33" ht="24.6" customHeight="1">
      <c r="B35" s="250"/>
      <c r="D35" s="21" t="str">
        <f>'Different homes'!C9</f>
        <v>average electric home</v>
      </c>
      <c r="F35" s="305">
        <f>'Different homes'!AW9</f>
        <v>2221.1081940665317</v>
      </c>
      <c r="G35" s="305">
        <f>'Different homes'!AX9</f>
        <v>317.3011705809331</v>
      </c>
      <c r="H35" s="305">
        <f>'Different homes'!AY9</f>
        <v>965.83473795715872</v>
      </c>
      <c r="I35" s="22" t="str">
        <f>'Different homes'!BC9</f>
        <v>same</v>
      </c>
    </row>
    <row r="36" spans="2:33" ht="24.6" customHeight="1">
      <c r="B36" s="250"/>
      <c r="D36" s="21" t="str">
        <f>'Different homes'!C10</f>
        <v>big gas home</v>
      </c>
      <c r="F36" s="305">
        <f>'Different homes'!AW10</f>
        <v>2302.4221888734564</v>
      </c>
      <c r="G36" s="305">
        <f>'Different homes'!AX10</f>
        <v>460.48443777469129</v>
      </c>
      <c r="H36" s="305">
        <f>'Different homes'!AY10</f>
        <v>575.60554721836411</v>
      </c>
      <c r="I36" s="22" t="str">
        <f>'Different homes'!BC10</f>
        <v>paying $612 less (too little)</v>
      </c>
    </row>
    <row r="37" spans="2:33" ht="24.6" customHeight="1">
      <c r="B37" s="250"/>
      <c r="D37" s="21" t="str">
        <f>'Different homes'!C11</f>
        <v>big solar home</v>
      </c>
      <c r="E37" s="17"/>
      <c r="F37" s="305">
        <f>'Different homes'!AW11</f>
        <v>2968.1952389031535</v>
      </c>
      <c r="G37" s="305">
        <f>'Different homes'!AX11</f>
        <v>494.69920648385892</v>
      </c>
      <c r="H37" s="305">
        <f>'Different homes'!AY11</f>
        <v>593.63904778063068</v>
      </c>
      <c r="I37" s="22" t="str">
        <f>'Different homes'!BC11</f>
        <v>paying $1012 less (too little)</v>
      </c>
      <c r="L37" s="16"/>
      <c r="M37" s="16"/>
      <c r="N37" s="16"/>
    </row>
    <row r="38" spans="2:33" ht="24.6" customHeight="1">
      <c r="B38" s="250"/>
      <c r="D38" s="21" t="str">
        <f>'Different homes'!C12</f>
        <v>big electric home</v>
      </c>
      <c r="F38" s="305">
        <f>'Different homes'!AW12</f>
        <v>3992.6462782543772</v>
      </c>
      <c r="G38" s="305">
        <f>'Different homes'!AX12</f>
        <v>332.72052318786479</v>
      </c>
      <c r="H38" s="305">
        <f>'Different homes'!AY12</f>
        <v>798.52925565087548</v>
      </c>
      <c r="I38" s="22" t="str">
        <f>'Different homes'!BC12</f>
        <v>paying $445 less (too little)</v>
      </c>
      <c r="L38" s="16"/>
      <c r="M38" s="16"/>
      <c r="N38" s="16"/>
    </row>
    <row r="39" spans="2:33" ht="30.6" customHeight="1">
      <c r="B39" s="250"/>
      <c r="D39" s="21" t="str">
        <f>'Different homes'!C13</f>
        <v>Efficient Electrify Everything home (based on big home, EV, with solar, no battery)</v>
      </c>
      <c r="E39" s="17"/>
      <c r="F39" s="305">
        <f>'Different homes'!AW13</f>
        <v>4443.8501273333341</v>
      </c>
      <c r="G39" s="305">
        <f>'Different homes'!AX13</f>
        <v>317.41786623809531</v>
      </c>
      <c r="H39" s="305">
        <f>'Different homes'!AY13</f>
        <v>1481.283375777778</v>
      </c>
      <c r="I39" s="22" t="str">
        <f>'Different homes'!BC13</f>
        <v>paying $366 less (too little)</v>
      </c>
      <c r="L39" s="16"/>
      <c r="M39" s="16"/>
      <c r="N39" s="16"/>
    </row>
    <row r="40" spans="2:33" ht="31.5" customHeight="1">
      <c r="B40" s="250"/>
      <c r="D40" s="21" t="str">
        <f>'Different homes'!C14</f>
        <v>Efficient Electrify Everything home with battery and load flex (reduced grid impact)</v>
      </c>
      <c r="E40" s="200"/>
      <c r="F40" s="305">
        <f>'Different homes'!AW14</f>
        <v>2285.5369163214559</v>
      </c>
      <c r="G40" s="305">
        <f>'Different homes'!AX14</f>
        <v>285.69211454018199</v>
      </c>
      <c r="H40" s="305">
        <f>'Different homes'!AY14</f>
        <v>4571.0738326429118</v>
      </c>
      <c r="I40" s="22" t="str">
        <f>'Different homes'!BC14</f>
        <v>paying $201 more (too much)</v>
      </c>
      <c r="L40" s="16"/>
      <c r="M40" s="16"/>
      <c r="N40" s="16"/>
    </row>
    <row r="41" spans="2:33" ht="27.95" customHeight="1">
      <c r="B41" s="250"/>
      <c r="D41" s="21" t="str">
        <f>'Different homes'!C15</f>
        <v>My original reference household (your tariffs)</v>
      </c>
      <c r="F41" s="305">
        <f>'Different homes'!AW15</f>
        <v>1784.1421211554443</v>
      </c>
      <c r="G41" s="305">
        <f>'Different homes'!AX15</f>
        <v>333.37826101697965</v>
      </c>
      <c r="H41" s="305">
        <f>'Different homes'!AY15</f>
        <v>1030.2863700836872</v>
      </c>
      <c r="I41" s="22" t="str">
        <f>'Different homes'!BC15</f>
        <v>same</v>
      </c>
      <c r="L41" s="16"/>
      <c r="M41" s="16"/>
      <c r="N41" s="16"/>
    </row>
    <row r="42" spans="2:33" ht="24.6" customHeight="1">
      <c r="B42" s="250"/>
      <c r="D42" s="21" t="str">
        <f>'Different homes'!C16</f>
        <v>Your household type 1</v>
      </c>
      <c r="F42" s="305" t="str">
        <f>IF('Different homes'!D16=0,"fill in your own home on Different homes tab",'Different homes'!AW16)</f>
        <v>fill in your own home on Different homes tab</v>
      </c>
      <c r="G42" s="201"/>
      <c r="I42" s="22" t="str">
        <f>'Different homes'!BC16</f>
        <v>same</v>
      </c>
      <c r="L42" s="16"/>
      <c r="M42" s="16"/>
      <c r="N42" s="16"/>
    </row>
    <row r="43" spans="2:33" ht="24.6" customHeight="1">
      <c r="B43" s="250"/>
      <c r="D43" s="21" t="str">
        <f>'Different homes'!C17</f>
        <v>Your household type 2</v>
      </c>
      <c r="F43" s="305" t="str">
        <f>IF('Different homes'!D17=0,"fill in your own home on Different homes tab",'Different homes'!AW17)</f>
        <v>fill in your own home on Different homes tab</v>
      </c>
      <c r="G43" s="201"/>
      <c r="I43" s="22" t="str">
        <f>'Different homes'!BC17</f>
        <v>same</v>
      </c>
      <c r="L43" s="16"/>
      <c r="M43" s="16"/>
      <c r="N43" s="16"/>
    </row>
    <row r="44" spans="2:33" ht="29.1" customHeight="1">
      <c r="B44" s="250"/>
      <c r="F44" s="173"/>
      <c r="G44" s="201"/>
      <c r="L44" s="16"/>
      <c r="M44" s="16"/>
      <c r="N44" s="16"/>
    </row>
    <row r="45" spans="2:33" ht="26.1" customHeight="1">
      <c r="B45" s="250"/>
      <c r="F45" s="173"/>
      <c r="G45" s="201"/>
    </row>
    <row r="46" spans="2:33" ht="24.6" customHeight="1">
      <c r="B46" s="250"/>
      <c r="F46" s="173"/>
      <c r="G46" s="201"/>
    </row>
    <row r="47" spans="2:33" ht="24.6" customHeight="1">
      <c r="B47" s="250"/>
      <c r="G47" s="285"/>
    </row>
    <row r="48" spans="2:33" ht="24.6" customHeight="1">
      <c r="B48" s="250"/>
      <c r="G48" s="279"/>
      <c r="H48" s="45"/>
      <c r="J48" s="45"/>
    </row>
    <row r="49" spans="2:10" ht="24.6" customHeight="1">
      <c r="B49" s="250"/>
      <c r="G49" s="279"/>
      <c r="H49" s="47"/>
      <c r="J49" s="47"/>
    </row>
    <row r="50" spans="2:10" ht="24.6" customHeight="1">
      <c r="B50" s="250"/>
      <c r="G50" s="280"/>
    </row>
    <row r="51" spans="2:10" ht="24.6" customHeight="1">
      <c r="B51" s="250"/>
      <c r="G51" s="280"/>
    </row>
    <row r="52" spans="2:10" ht="24.6" customHeight="1">
      <c r="B52" s="250"/>
      <c r="G52" s="281"/>
    </row>
    <row r="53" spans="2:10" ht="24.6" customHeight="1">
      <c r="B53" s="250" t="e">
        <f>IF(#REF!,#REF!,G53)</f>
        <v>#REF!</v>
      </c>
      <c r="G53" s="282"/>
    </row>
    <row r="54" spans="2:10" ht="24.6" customHeight="1">
      <c r="B54" s="250" t="e">
        <f>IF(#REF!,#REF!,G54)</f>
        <v>#REF!</v>
      </c>
      <c r="D54" s="48"/>
      <c r="E54" s="48"/>
      <c r="F54" s="48"/>
      <c r="G54" s="283"/>
    </row>
    <row r="55" spans="2:10" ht="24.6" customHeight="1">
      <c r="B55" s="250" t="e">
        <f>IF(#REF!,#REF!,G55)</f>
        <v>#REF!</v>
      </c>
      <c r="D55" s="39"/>
      <c r="E55" s="39"/>
      <c r="F55" s="39"/>
      <c r="G55" s="284"/>
    </row>
    <row r="56" spans="2:10" ht="24.6" customHeight="1"/>
  </sheetData>
  <conditionalFormatting sqref="G31:G41">
    <cfRule type="colorScale" priority="1">
      <colorScale>
        <cfvo type="min"/>
        <cfvo type="percentile" val="50"/>
        <cfvo type="max"/>
        <color rgb="FF63BE7B"/>
        <color rgb="FFFFEB84"/>
        <color rgb="FFF8696B"/>
      </colorScale>
    </cfRule>
  </conditionalFormatting>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9220" r:id="rId3" name="Drop Down 4">
              <controlPr defaultSize="0" autoLine="0" autoPict="0">
                <anchor moveWithCells="1">
                  <from>
                    <xdr:col>5</xdr:col>
                    <xdr:colOff>76200</xdr:colOff>
                    <xdr:row>4</xdr:row>
                    <xdr:rowOff>101600</xdr:rowOff>
                  </from>
                  <to>
                    <xdr:col>6</xdr:col>
                    <xdr:colOff>0</xdr:colOff>
                    <xdr:row>4</xdr:row>
                    <xdr:rowOff>342900</xdr:rowOff>
                  </to>
                </anchor>
              </controlPr>
            </control>
          </mc:Choice>
        </mc:AlternateContent>
        <mc:AlternateContent xmlns:mc="http://schemas.openxmlformats.org/markup-compatibility/2006">
          <mc:Choice Requires="x14">
            <control shapeId="9221" r:id="rId4" name="Drop Down 5">
              <controlPr defaultSize="0" autoLine="0" autoPict="0">
                <anchor moveWithCells="1">
                  <from>
                    <xdr:col>5</xdr:col>
                    <xdr:colOff>76200</xdr:colOff>
                    <xdr:row>5</xdr:row>
                    <xdr:rowOff>101600</xdr:rowOff>
                  </from>
                  <to>
                    <xdr:col>6</xdr:col>
                    <xdr:colOff>0</xdr:colOff>
                    <xdr:row>5</xdr:row>
                    <xdr:rowOff>342900</xdr:rowOff>
                  </to>
                </anchor>
              </controlPr>
            </control>
          </mc:Choice>
        </mc:AlternateContent>
        <mc:AlternateContent xmlns:mc="http://schemas.openxmlformats.org/markup-compatibility/2006">
          <mc:Choice Requires="x14">
            <control shapeId="9222" r:id="rId5" name="Check Box 6">
              <controlPr defaultSize="0" autoFill="0" autoLine="0" autoPict="0" altText="Tick for Yes">
                <anchor moveWithCells="1">
                  <from>
                    <xdr:col>5</xdr:col>
                    <xdr:colOff>304800</xdr:colOff>
                    <xdr:row>6</xdr:row>
                    <xdr:rowOff>114300</xdr:rowOff>
                  </from>
                  <to>
                    <xdr:col>5</xdr:col>
                    <xdr:colOff>781050</xdr:colOff>
                    <xdr:row>6</xdr:row>
                    <xdr:rowOff>374650</xdr:rowOff>
                  </to>
                </anchor>
              </controlPr>
            </control>
          </mc:Choice>
        </mc:AlternateContent>
        <mc:AlternateContent xmlns:mc="http://schemas.openxmlformats.org/markup-compatibility/2006">
          <mc:Choice Requires="x14">
            <control shapeId="9223" r:id="rId6" name="Check Box 7">
              <controlPr defaultSize="0" autoFill="0" autoLine="0" autoPict="0" altText="Tick for Yes">
                <anchor moveWithCells="1">
                  <from>
                    <xdr:col>5</xdr:col>
                    <xdr:colOff>304800</xdr:colOff>
                    <xdr:row>7</xdr:row>
                    <xdr:rowOff>127000</xdr:rowOff>
                  </from>
                  <to>
                    <xdr:col>5</xdr:col>
                    <xdr:colOff>781050</xdr:colOff>
                    <xdr:row>7</xdr:row>
                    <xdr:rowOff>381000</xdr:rowOff>
                  </to>
                </anchor>
              </controlPr>
            </control>
          </mc:Choice>
        </mc:AlternateContent>
        <mc:AlternateContent xmlns:mc="http://schemas.openxmlformats.org/markup-compatibility/2006">
          <mc:Choice Requires="x14">
            <control shapeId="9224" r:id="rId7" name="Drop Down 8">
              <controlPr defaultSize="0" autoLine="0" autoPict="0">
                <anchor moveWithCells="1">
                  <from>
                    <xdr:col>5</xdr:col>
                    <xdr:colOff>76200</xdr:colOff>
                    <xdr:row>12</xdr:row>
                    <xdr:rowOff>133350</xdr:rowOff>
                  </from>
                  <to>
                    <xdr:col>6</xdr:col>
                    <xdr:colOff>0</xdr:colOff>
                    <xdr:row>12</xdr:row>
                    <xdr:rowOff>374650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2F0219-64ED-4DED-95C5-A0AAB7B04AD0}">
  <sheetPr>
    <tabColor rgb="FFFFC000"/>
  </sheetPr>
  <dimension ref="A1:AD50"/>
  <sheetViews>
    <sheetView topLeftCell="E23" workbookViewId="0">
      <selection activeCell="E21" sqref="E21:F30"/>
    </sheetView>
  </sheetViews>
  <sheetFormatPr defaultColWidth="8.7109375" defaultRowHeight="14.1"/>
  <cols>
    <col min="1" max="1" width="4.5703125" style="341" customWidth="1"/>
    <col min="2" max="2" width="14.28515625" style="342" hidden="1" customWidth="1"/>
    <col min="3" max="3" width="8.7109375" style="21"/>
    <col min="4" max="4" width="51.42578125" style="21" bestFit="1" customWidth="1"/>
    <col min="5" max="5" width="17.85546875" style="21" customWidth="1"/>
    <col min="6" max="6" width="121.140625" style="21" customWidth="1"/>
    <col min="7" max="7" width="9.42578125" style="21" bestFit="1" customWidth="1"/>
    <col min="8" max="11" width="8.7109375" style="21"/>
    <col min="12" max="12" width="12" style="21" customWidth="1"/>
    <col min="13" max="16384" width="8.7109375" style="21"/>
  </cols>
  <sheetData>
    <row r="1" spans="1:30" s="348" customFormat="1">
      <c r="A1" s="341"/>
      <c r="B1" s="342"/>
    </row>
    <row r="2" spans="1:30" ht="24.6" customHeight="1">
      <c r="B2" s="342" t="str">
        <f>'1. Choose State'!K4</f>
        <v>NEM</v>
      </c>
      <c r="V2" s="127"/>
    </row>
    <row r="3" spans="1:30" ht="24.6" customHeight="1">
      <c r="D3" s="183" t="s">
        <v>329</v>
      </c>
      <c r="L3" s="127"/>
      <c r="M3" s="25"/>
      <c r="N3" s="25"/>
      <c r="O3" s="25"/>
      <c r="P3" s="25"/>
      <c r="U3" s="177"/>
    </row>
    <row r="4" spans="1:30" ht="24.6" customHeight="1">
      <c r="D4" s="183"/>
      <c r="L4" s="127"/>
      <c r="M4" s="25"/>
      <c r="N4" s="25"/>
      <c r="O4" s="25"/>
      <c r="P4" s="25"/>
      <c r="U4" s="177"/>
    </row>
    <row r="5" spans="1:30" ht="24.6" customHeight="1">
      <c r="D5" s="343" t="s">
        <v>330</v>
      </c>
      <c r="E5" s="344"/>
      <c r="F5" s="344"/>
      <c r="L5" s="127"/>
      <c r="M5" s="25"/>
      <c r="N5" s="25"/>
      <c r="O5" s="25"/>
      <c r="P5" s="25"/>
      <c r="U5" s="177"/>
    </row>
    <row r="6" spans="1:30" ht="39.6" customHeight="1">
      <c r="B6" s="342" t="e">
        <f>IF(#REF!,#REF!,#REF!)</f>
        <v>#REF!</v>
      </c>
      <c r="D6" s="21" t="s">
        <v>331</v>
      </c>
      <c r="E6" s="349"/>
      <c r="F6" s="349"/>
      <c r="H6" s="25"/>
      <c r="I6" s="26"/>
      <c r="J6" s="26"/>
      <c r="L6" s="27"/>
      <c r="M6" s="28"/>
      <c r="N6" s="28"/>
      <c r="O6" s="28"/>
      <c r="P6" s="28"/>
      <c r="Q6" s="28"/>
      <c r="R6" s="29"/>
      <c r="V6" s="30"/>
      <c r="W6" s="30"/>
      <c r="X6" s="30"/>
      <c r="Y6" s="30"/>
      <c r="Z6" s="31"/>
      <c r="AA6" s="30"/>
      <c r="AB6" s="30"/>
      <c r="AC6" s="30"/>
      <c r="AD6" s="30"/>
    </row>
    <row r="7" spans="1:30" ht="24.6" customHeight="1">
      <c r="B7" s="342" t="b">
        <v>1</v>
      </c>
      <c r="D7" s="344" t="s">
        <v>332</v>
      </c>
      <c r="E7" s="345"/>
      <c r="F7" s="227" t="s">
        <v>304</v>
      </c>
      <c r="H7" s="25"/>
      <c r="I7" s="26"/>
      <c r="J7" s="26"/>
      <c r="L7" s="27"/>
      <c r="M7" s="28"/>
      <c r="N7" s="28"/>
      <c r="O7" s="28"/>
      <c r="P7" s="28"/>
      <c r="Q7" s="28"/>
      <c r="R7" s="29"/>
      <c r="V7" s="30"/>
      <c r="W7" s="23"/>
      <c r="X7" s="23"/>
      <c r="Y7" s="23"/>
      <c r="Z7" s="31"/>
      <c r="AA7" s="23"/>
      <c r="AB7" s="23"/>
      <c r="AC7" s="30"/>
      <c r="AD7" s="23"/>
    </row>
    <row r="8" spans="1:30" ht="24.6" customHeight="1">
      <c r="B8" s="342" t="e">
        <f>IF(#REF!,#REF!,#REF!)</f>
        <v>#REF!</v>
      </c>
      <c r="D8" s="96"/>
      <c r="E8" s="346" t="str">
        <f xml:space="preserve"> IF($B$7,"Amongst different homes who are losers (based on my estimates of gas and solar homes particularly), the Bill Shock is a 20 - 35% rise","")</f>
        <v>Amongst different homes who are losers (based on my estimates of gas and solar homes particularly), the Bill Shock is a 20 - 35% rise</v>
      </c>
      <c r="F8" s="256"/>
      <c r="H8" s="25"/>
      <c r="I8" s="26"/>
      <c r="J8" s="26"/>
      <c r="L8" s="27"/>
      <c r="M8" s="28"/>
      <c r="N8" s="28"/>
      <c r="O8" s="28"/>
      <c r="P8" s="28"/>
      <c r="Q8" s="28"/>
      <c r="R8" s="29"/>
      <c r="V8" s="30"/>
      <c r="W8" s="23"/>
      <c r="X8" s="23"/>
      <c r="Y8" s="23"/>
      <c r="Z8" s="31"/>
      <c r="AA8" s="23"/>
      <c r="AB8" s="23"/>
      <c r="AC8" s="30"/>
      <c r="AD8" s="23"/>
    </row>
    <row r="9" spans="1:30" ht="24.6" customHeight="1">
      <c r="D9" s="203"/>
      <c r="E9" s="350" t="str">
        <f xml:space="preserve"> IF($B$7,"These are often households with smaller bills but it is nevertheless $200 - $500 extra per year","")</f>
        <v>These are often households with smaller bills but it is nevertheless $200 - $500 extra per year</v>
      </c>
      <c r="F9" s="350"/>
      <c r="H9" s="25"/>
      <c r="I9" s="26"/>
      <c r="J9" s="26"/>
      <c r="L9" s="27"/>
      <c r="M9" s="28"/>
      <c r="N9" s="28"/>
      <c r="O9" s="28"/>
      <c r="P9" s="28"/>
      <c r="Q9" s="28"/>
      <c r="R9" s="29"/>
      <c r="V9" s="30"/>
      <c r="W9" s="23"/>
      <c r="X9" s="23"/>
      <c r="Y9" s="23"/>
      <c r="Z9" s="31"/>
      <c r="AA9" s="23"/>
      <c r="AB9" s="23"/>
      <c r="AC9" s="30"/>
      <c r="AD9" s="23"/>
    </row>
    <row r="10" spans="1:30" ht="24.6" customHeight="1">
      <c r="D10" s="96"/>
      <c r="E10" s="346" t="str">
        <f xml:space="preserve"> IF($B$7,"An insurance product would put everyone's bills up and transfer an amount to these homes to reduce the level of Bill Shock","")</f>
        <v>An insurance product would put everyone's bills up and transfer an amount to these homes to reduce the level of Bill Shock</v>
      </c>
      <c r="F10" s="346"/>
      <c r="H10" s="25"/>
      <c r="I10" s="26"/>
      <c r="J10" s="26"/>
      <c r="L10" s="27"/>
      <c r="M10" s="28"/>
      <c r="N10" s="28"/>
      <c r="O10" s="28"/>
      <c r="P10" s="28"/>
      <c r="Q10" s="28"/>
      <c r="R10" s="29"/>
      <c r="V10" s="30"/>
      <c r="W10" s="23"/>
      <c r="X10" s="23"/>
      <c r="Y10" s="23"/>
      <c r="Z10" s="31"/>
      <c r="AA10" s="23"/>
      <c r="AB10" s="23"/>
      <c r="AC10" s="30"/>
      <c r="AD10" s="23"/>
    </row>
    <row r="11" spans="1:30" ht="24.6" customHeight="1" thickBot="1">
      <c r="D11" s="203"/>
      <c r="E11" s="350" t="str">
        <f xml:space="preserve"> IF($B$7,"If we assume 30% of homes will need a 15% transfer, everyone's bills will need to rise by 5%","")</f>
        <v>If we assume 30% of homes will need a 15% transfer, everyone's bills will need to rise by 5%</v>
      </c>
      <c r="F11" s="350"/>
      <c r="H11" s="25"/>
      <c r="I11" s="26"/>
      <c r="J11" s="26"/>
      <c r="L11" s="27"/>
      <c r="M11" s="28"/>
      <c r="N11" s="28"/>
      <c r="O11" s="28"/>
      <c r="P11" s="28"/>
      <c r="Q11" s="28"/>
      <c r="R11" s="29"/>
      <c r="V11" s="30"/>
      <c r="W11" s="23"/>
      <c r="X11" s="23"/>
      <c r="Y11" s="23"/>
      <c r="Z11" s="31"/>
      <c r="AA11" s="23"/>
      <c r="AB11" s="23"/>
      <c r="AC11" s="30"/>
      <c r="AD11" s="23"/>
    </row>
    <row r="12" spans="1:30" ht="24.6" customHeight="1" thickBot="1">
      <c r="D12" s="96" t="s">
        <v>333</v>
      </c>
      <c r="E12" s="347">
        <v>0.05</v>
      </c>
      <c r="F12" s="346" t="s">
        <v>334</v>
      </c>
      <c r="H12" s="25"/>
      <c r="I12" s="26"/>
      <c r="J12" s="26"/>
      <c r="L12" s="27"/>
      <c r="M12" s="28"/>
      <c r="N12" s="28"/>
      <c r="O12" s="28"/>
      <c r="P12" s="28"/>
      <c r="Q12" s="28"/>
      <c r="R12" s="29"/>
      <c r="V12" s="30"/>
      <c r="W12" s="23"/>
      <c r="X12" s="23"/>
      <c r="Y12" s="23"/>
      <c r="Z12" s="31"/>
      <c r="AA12" s="23"/>
      <c r="AB12" s="23"/>
      <c r="AC12" s="30"/>
      <c r="AD12" s="23"/>
    </row>
    <row r="13" spans="1:30" ht="24.6" customHeight="1" thickBot="1">
      <c r="B13" s="342" t="b">
        <v>1</v>
      </c>
      <c r="D13" s="344" t="s">
        <v>335</v>
      </c>
      <c r="E13" s="345"/>
      <c r="F13" s="227" t="s">
        <v>304</v>
      </c>
      <c r="H13" s="25"/>
      <c r="I13" s="26"/>
      <c r="J13" s="26"/>
      <c r="L13" s="27"/>
      <c r="M13" s="28"/>
      <c r="N13" s="28"/>
      <c r="O13" s="28"/>
      <c r="P13" s="28"/>
      <c r="Q13" s="28"/>
      <c r="R13" s="29"/>
      <c r="V13" s="30"/>
      <c r="W13" s="23"/>
      <c r="X13" s="23"/>
      <c r="Y13" s="23"/>
      <c r="Z13" s="31"/>
      <c r="AA13" s="23"/>
      <c r="AB13" s="23"/>
      <c r="AC13" s="30"/>
      <c r="AD13" s="23"/>
    </row>
    <row r="14" spans="1:30" ht="24.6" customHeight="1" thickBot="1">
      <c r="B14" s="342" t="e">
        <f>IF(#REF!,#REF!,#REF!)</f>
        <v>#REF!</v>
      </c>
      <c r="D14" s="96" t="str">
        <f>IF($B$13,"How many homes will need a transfer?","")</f>
        <v>How many homes will need a transfer?</v>
      </c>
      <c r="E14" s="347">
        <v>0.3</v>
      </c>
      <c r="F14" s="346"/>
      <c r="I14" s="26"/>
      <c r="J14" s="26"/>
      <c r="L14" s="27"/>
      <c r="M14" s="28"/>
      <c r="N14" s="28"/>
      <c r="O14" s="28"/>
      <c r="P14" s="28"/>
      <c r="Q14" s="28"/>
      <c r="R14" s="29"/>
      <c r="V14" s="30"/>
      <c r="W14" s="23"/>
      <c r="X14" s="23"/>
      <c r="Y14" s="23"/>
      <c r="Z14" s="31"/>
      <c r="AA14" s="23"/>
      <c r="AB14" s="23"/>
      <c r="AC14" s="30"/>
      <c r="AD14" s="23"/>
    </row>
    <row r="15" spans="1:30" ht="24.6" customHeight="1" thickBot="1">
      <c r="D15" s="203" t="s">
        <v>336</v>
      </c>
      <c r="E15" s="347">
        <v>0.12</v>
      </c>
      <c r="F15" s="350"/>
      <c r="I15" s="26"/>
      <c r="J15" s="26"/>
      <c r="L15" s="27"/>
      <c r="M15" s="28"/>
      <c r="N15" s="28"/>
      <c r="O15" s="28"/>
      <c r="P15" s="28"/>
      <c r="Q15" s="28"/>
      <c r="R15" s="29"/>
      <c r="V15" s="30"/>
      <c r="W15" s="23"/>
      <c r="X15" s="23"/>
      <c r="Y15" s="23"/>
      <c r="Z15" s="31"/>
      <c r="AA15" s="23"/>
      <c r="AB15" s="23"/>
      <c r="AC15" s="30"/>
      <c r="AD15" s="23"/>
    </row>
    <row r="16" spans="1:30" ht="24.6" customHeight="1" thickBot="1">
      <c r="B16" s="342" t="e">
        <f>IF(#REF!,#REF!,#REF!)</f>
        <v>#REF!</v>
      </c>
      <c r="D16" s="96" t="str">
        <f>IF($B$13,"What is the average transfer they will need?","")</f>
        <v>What is the average transfer they will need?</v>
      </c>
      <c r="E16" s="347">
        <v>0.15</v>
      </c>
      <c r="F16" s="355" t="str">
        <f>IF(AND($B$13,ROUND(E16*E14,2)&gt;E12),CONCATENATE(" your calculation suggests the price rise in Row 12 should be ",ROUND(E14*E16,2)*100,"%"),"")</f>
        <v/>
      </c>
      <c r="I16" s="26"/>
      <c r="J16" s="26"/>
      <c r="L16" s="27"/>
      <c r="M16" s="28"/>
      <c r="N16" s="28"/>
      <c r="O16" s="28"/>
      <c r="P16" s="28"/>
      <c r="Q16" s="28"/>
      <c r="R16" s="29"/>
      <c r="V16" s="30"/>
      <c r="W16" s="23"/>
      <c r="X16" s="23"/>
      <c r="Y16" s="23"/>
      <c r="Z16" s="31"/>
      <c r="AA16" s="23"/>
      <c r="AB16" s="23"/>
      <c r="AC16" s="30"/>
      <c r="AD16" s="23"/>
    </row>
    <row r="17" spans="2:30" ht="24.6" customHeight="1">
      <c r="B17" s="342" t="e">
        <f>IF(#REF!,#REF!,#REF!)</f>
        <v>#REF!</v>
      </c>
      <c r="E17" s="96"/>
      <c r="F17" s="96"/>
      <c r="I17" s="26"/>
      <c r="J17" s="26"/>
      <c r="L17" s="27"/>
      <c r="M17" s="28"/>
      <c r="N17" s="28"/>
      <c r="O17" s="28"/>
      <c r="P17" s="28"/>
      <c r="Q17" s="28"/>
      <c r="R17" s="29"/>
      <c r="V17" s="30"/>
      <c r="W17" s="23"/>
      <c r="X17" s="23"/>
      <c r="Y17" s="23"/>
      <c r="Z17" s="31"/>
      <c r="AA17" s="23"/>
      <c r="AB17" s="23"/>
      <c r="AC17" s="30"/>
      <c r="AD17" s="23"/>
    </row>
    <row r="18" spans="2:30" ht="24.6" customHeight="1">
      <c r="B18" s="342" t="b">
        <v>1</v>
      </c>
      <c r="D18" s="127" t="s">
        <v>337</v>
      </c>
      <c r="E18" s="292"/>
      <c r="F18" s="292"/>
      <c r="H18" s="25"/>
      <c r="I18" s="26"/>
      <c r="J18" s="26"/>
      <c r="L18" s="27"/>
      <c r="M18" s="28"/>
      <c r="N18" s="28"/>
      <c r="O18" s="28"/>
      <c r="P18" s="28"/>
      <c r="Q18" s="28"/>
      <c r="R18" s="29"/>
      <c r="V18" s="30"/>
      <c r="W18" s="23"/>
      <c r="X18" s="23"/>
      <c r="Y18" s="23"/>
      <c r="Z18" s="31"/>
      <c r="AA18" s="23"/>
      <c r="AB18" s="23"/>
      <c r="AC18" s="30"/>
      <c r="AD18" s="23"/>
    </row>
    <row r="19" spans="2:30" ht="24.6" customHeight="1">
      <c r="B19" s="342" t="e">
        <f>IF(#REF!,#REF!,#REF!)</f>
        <v>#REF!</v>
      </c>
      <c r="D19" s="344" t="s">
        <v>338</v>
      </c>
      <c r="E19" s="227"/>
      <c r="F19" s="227"/>
      <c r="I19" s="26"/>
      <c r="J19" s="26"/>
      <c r="L19" s="27"/>
      <c r="M19" s="28"/>
      <c r="N19" s="28"/>
      <c r="O19" s="28"/>
      <c r="P19" s="28"/>
      <c r="Q19" s="28"/>
      <c r="R19" s="29"/>
      <c r="V19" s="30"/>
      <c r="W19" s="23"/>
      <c r="X19" s="23"/>
      <c r="Y19" s="23"/>
      <c r="Z19" s="31"/>
      <c r="AA19" s="23"/>
      <c r="AB19" s="23"/>
      <c r="AC19" s="30"/>
      <c r="AD19" s="23"/>
    </row>
    <row r="20" spans="2:30" ht="24.6" customHeight="1">
      <c r="B20" s="342" t="b">
        <v>1</v>
      </c>
      <c r="D20" s="21" t="s">
        <v>339</v>
      </c>
      <c r="E20" s="30"/>
      <c r="F20" s="256" t="s">
        <v>304</v>
      </c>
      <c r="G20" s="29"/>
      <c r="I20" s="26"/>
      <c r="J20" s="26"/>
      <c r="L20" s="27"/>
      <c r="M20" s="28"/>
      <c r="N20" s="28"/>
      <c r="O20" s="28"/>
      <c r="P20" s="28"/>
      <c r="Q20" s="28"/>
      <c r="R20" s="29"/>
      <c r="V20" s="30"/>
      <c r="W20" s="23"/>
      <c r="X20" s="23"/>
      <c r="Y20" s="23"/>
      <c r="Z20" s="31"/>
      <c r="AA20" s="23"/>
      <c r="AB20" s="23"/>
      <c r="AC20" s="30"/>
      <c r="AD20" s="23"/>
    </row>
    <row r="21" spans="2:30" ht="24.6" customHeight="1">
      <c r="B21" s="342" t="e">
        <f>IF(#REF!,#REF!,#REF!)</f>
        <v>#REF!</v>
      </c>
      <c r="D21" s="344"/>
      <c r="E21" s="350" t="str">
        <f xml:space="preserve"> IF($B$20,"Five stages might be Awareness, Interest, Intention, Action, Monitor and Feedback. The intervention needed will improve the household average to peak load ratio","")</f>
        <v>Five stages might be Awareness, Interest, Intention, Action, Monitor and Feedback. The intervention needed will improve the household average to peak load ratio</v>
      </c>
      <c r="F21" s="227"/>
      <c r="I21" s="26"/>
      <c r="J21" s="26"/>
      <c r="L21" s="27"/>
      <c r="M21" s="28"/>
      <c r="N21" s="28"/>
      <c r="O21" s="28"/>
      <c r="P21" s="28"/>
      <c r="Q21" s="28"/>
      <c r="R21" s="29"/>
      <c r="V21" s="30"/>
      <c r="W21" s="23"/>
      <c r="X21" s="23"/>
      <c r="Y21" s="23"/>
      <c r="Z21" s="31"/>
      <c r="AA21" s="23"/>
      <c r="AB21" s="23"/>
      <c r="AC21" s="30"/>
      <c r="AD21" s="23"/>
    </row>
    <row r="22" spans="2:30" ht="24.6" customHeight="1">
      <c r="B22" s="342" t="e">
        <f>IF(#REF!,#REF!,#REF!)</f>
        <v>#REF!</v>
      </c>
      <c r="E22" s="346" t="str">
        <f xml:space="preserve"> IF($B$20,"Awareness - everyone is willing to do campaigns but not all are trusted. Community energy groups backing campaigns with events and discussions can invest around $20 per household","")</f>
        <v>Awareness - everyone is willing to do campaigns but not all are trusted. Community energy groups backing campaigns with events and discussions can invest around $20 per household</v>
      </c>
      <c r="F22" s="256"/>
      <c r="I22" s="26"/>
      <c r="J22" s="26"/>
      <c r="L22" s="27"/>
      <c r="M22" s="28"/>
      <c r="N22" s="28"/>
      <c r="O22" s="28"/>
      <c r="P22" s="28"/>
      <c r="Q22" s="28"/>
      <c r="R22" s="29"/>
      <c r="V22" s="30"/>
      <c r="W22" s="23"/>
      <c r="X22" s="23"/>
      <c r="Y22" s="23"/>
      <c r="Z22" s="31"/>
      <c r="AA22" s="23"/>
      <c r="AB22" s="23"/>
      <c r="AC22" s="30"/>
      <c r="AD22" s="23"/>
    </row>
    <row r="23" spans="2:30" ht="24.6" customHeight="1">
      <c r="B23" s="342" t="e">
        <f>IF(#REF!,#REF!,#REF!)</f>
        <v>#REF!</v>
      </c>
      <c r="D23" s="344"/>
      <c r="E23" s="350" t="str">
        <f xml:space="preserve"> IF($B$20,"Interest - community energy volunteers often provide one-on-one Bill Surgeries, Speed Date an auditor etc. - lets say $50/per household","")</f>
        <v>Interest - community energy volunteers often provide one-on-one Bill Surgeries, Speed Date an auditor etc. - lets say $50/per household</v>
      </c>
      <c r="F23" s="227"/>
      <c r="I23" s="26"/>
      <c r="J23" s="26"/>
      <c r="L23" s="27"/>
      <c r="M23" s="28"/>
      <c r="N23" s="28"/>
      <c r="O23" s="28"/>
      <c r="P23" s="28"/>
      <c r="Q23" s="28"/>
      <c r="R23" s="29"/>
      <c r="V23" s="30"/>
      <c r="W23" s="23"/>
      <c r="X23" s="23"/>
      <c r="Y23" s="23"/>
      <c r="Z23" s="31"/>
      <c r="AA23" s="23"/>
      <c r="AB23" s="23"/>
      <c r="AC23" s="30"/>
      <c r="AD23" s="23"/>
    </row>
    <row r="24" spans="2:30" ht="24.6" customHeight="1">
      <c r="B24" s="342" t="e">
        <f>IF(#REF!,#REF!,#REF!)</f>
        <v>#REF!</v>
      </c>
      <c r="E24" s="346" t="str">
        <f xml:space="preserve"> IF($B$20,"Intention - This is where the advice becomes customised to the circumstances and it can take 5-10 hours to audit a home and work with the household to choose options - lets say $250/household","")</f>
        <v>Intention - This is where the advice becomes customised to the circumstances and it can take 5-10 hours to audit a home and work with the household to choose options - lets say $250/household</v>
      </c>
      <c r="F24" s="256"/>
      <c r="I24" s="26"/>
      <c r="J24" s="26"/>
      <c r="L24" s="27"/>
      <c r="M24" s="28"/>
      <c r="N24" s="28"/>
      <c r="O24" s="28"/>
      <c r="P24" s="28"/>
      <c r="Q24" s="28"/>
      <c r="R24" s="29"/>
      <c r="V24" s="30"/>
      <c r="W24" s="23"/>
      <c r="X24" s="23"/>
      <c r="Y24" s="23"/>
      <c r="Z24" s="31"/>
      <c r="AA24" s="23"/>
      <c r="AB24" s="23"/>
      <c r="AC24" s="30"/>
      <c r="AD24" s="23"/>
    </row>
    <row r="25" spans="2:30" ht="24.6" customHeight="1">
      <c r="B25" s="342" t="e">
        <f>IF(#REF!,#REF!,#REF!)</f>
        <v>#REF!</v>
      </c>
      <c r="D25" s="344"/>
      <c r="E25" s="350" t="str">
        <f xml:space="preserve"> IF($B$20,"Action - A key question for this exercise is if we want to incentivise action beyond the existing equipment subsidies","")</f>
        <v>Action - A key question for this exercise is if we want to incentivise action beyond the existing equipment subsidies</v>
      </c>
      <c r="F25" s="203"/>
      <c r="I25" s="26"/>
      <c r="J25" s="26"/>
      <c r="L25" s="27"/>
      <c r="M25" s="28"/>
      <c r="N25" s="28"/>
      <c r="O25" s="28"/>
      <c r="P25" s="28"/>
      <c r="Q25" s="28"/>
      <c r="R25" s="29"/>
      <c r="V25" s="30"/>
      <c r="W25" s="23"/>
      <c r="X25" s="23"/>
      <c r="Y25" s="23"/>
      <c r="Z25" s="31"/>
      <c r="AA25" s="23"/>
      <c r="AB25" s="23"/>
      <c r="AC25" s="30"/>
      <c r="AD25" s="23"/>
    </row>
    <row r="26" spans="2:30" ht="24.6" customHeight="1">
      <c r="B26" s="342" t="e">
        <f>IF(#REF!,#REF!,#REF!)</f>
        <v>#REF!</v>
      </c>
      <c r="E26" s="346" t="str">
        <f xml:space="preserve"> IF($B$20,"Expensive action: - a battery solves peak load. Support will be needed to ensure the control and retailer settings align to discharge during peak load","")</f>
        <v>Expensive action: - a battery solves peak load. Support will be needed to ensure the control and retailer settings align to discharge during peak load</v>
      </c>
      <c r="F26" s="96"/>
      <c r="I26" s="26"/>
      <c r="J26" s="26"/>
      <c r="L26" s="27"/>
      <c r="M26" s="28"/>
      <c r="N26" s="28"/>
      <c r="O26" s="28"/>
      <c r="P26" s="28"/>
      <c r="Q26" s="28"/>
      <c r="R26" s="29"/>
      <c r="V26" s="30"/>
      <c r="W26" s="23"/>
      <c r="X26" s="23"/>
      <c r="Y26" s="23"/>
      <c r="Z26" s="31"/>
      <c r="AA26" s="23"/>
      <c r="AB26" s="23"/>
      <c r="AC26" s="30"/>
      <c r="AD26" s="23"/>
    </row>
    <row r="27" spans="2:30" ht="31.5" customHeight="1">
      <c r="B27" s="351" t="s">
        <v>340</v>
      </c>
      <c r="D27" s="344"/>
      <c r="E27" s="416" t="str">
        <f xml:space="preserve"> IF($B$20,B27,"")</f>
        <v>Expensive action 2 - the loads associated with peak are heating and cooling and they are going to rise as more people electrify. Does it make sense to cycle these on the hottest and coldest evenings? Can the building fabric have enough thermal mass that the home can be preheated or precooled, allowing a reduction in load during the few key evenings of the year?</v>
      </c>
      <c r="F27" s="416"/>
      <c r="I27" s="26"/>
      <c r="J27" s="26"/>
      <c r="L27" s="27"/>
      <c r="M27" s="28"/>
      <c r="N27" s="28"/>
      <c r="O27" s="28"/>
      <c r="P27" s="28"/>
      <c r="Q27" s="28"/>
      <c r="R27" s="29"/>
      <c r="V27" s="30"/>
      <c r="W27" s="23"/>
      <c r="X27" s="23"/>
      <c r="Y27" s="23"/>
      <c r="Z27" s="31"/>
      <c r="AA27" s="23"/>
      <c r="AB27" s="23"/>
      <c r="AC27" s="30"/>
      <c r="AD27" s="23"/>
    </row>
    <row r="28" spans="2:30" ht="31.5" customHeight="1">
      <c r="B28" s="351" t="s">
        <v>340</v>
      </c>
      <c r="E28" s="417" t="str">
        <f xml:space="preserve"> IF($B$20,"Difficult action - discovering if other loads are operating and don't need to be during dinnertime - changing items like hot water goes beyond simple behaviour change because of how hot water recharge is controlled","")</f>
        <v>Difficult action - discovering if other loads are operating and don't need to be during dinnertime - changing items like hot water goes beyond simple behaviour change because of how hot water recharge is controlled</v>
      </c>
      <c r="F28" s="417"/>
    </row>
    <row r="29" spans="2:30" ht="24.6" customHeight="1">
      <c r="B29" s="342" t="e">
        <f>IF(#REF!,#REF!,#REF!)</f>
        <v>#REF!</v>
      </c>
      <c r="D29" s="344"/>
      <c r="E29" s="350" t="str">
        <f xml:space="preserve"> IF($B$20,"Modest action - the loads associated with dinnertime are cooking and fridges, making these efficient is best done as a long term investment plan","")</f>
        <v>Modest action - the loads associated with dinnertime are cooking and fridges, making these efficient is best done as a long term investment plan</v>
      </c>
      <c r="F29" s="203"/>
    </row>
    <row r="30" spans="2:30" ht="24.6" customHeight="1">
      <c r="B30" s="342" t="e">
        <f>IF(#REF!,#REF!,#REF!)</f>
        <v>#REF!</v>
      </c>
      <c r="E30" s="346" t="str">
        <f xml:space="preserve"> IF($B$20,"Behaviour change is never simple but good habits can stick. Some meal use less electricity or can be prepared at different times. Some activities don't need to coincide with the dinnertime peak etc.","")</f>
        <v>Behaviour change is never simple but good habits can stick. Some meal use less electricity or can be prepared at different times. Some activities don't need to coincide with the dinnertime peak etc.</v>
      </c>
      <c r="F30" s="96"/>
    </row>
    <row r="31" spans="2:30" ht="24.6" customHeight="1">
      <c r="B31" s="342" t="e">
        <f>IF(#REF!,#REF!,#REF!)</f>
        <v>#REF!</v>
      </c>
      <c r="D31" s="344" t="s">
        <v>341</v>
      </c>
      <c r="E31" s="352">
        <f>E16</f>
        <v>0.15</v>
      </c>
      <c r="F31" s="227" t="s">
        <v>342</v>
      </c>
      <c r="I31" s="30"/>
      <c r="J31" s="30"/>
      <c r="K31" s="30"/>
    </row>
    <row r="32" spans="2:30" ht="24.6" customHeight="1">
      <c r="B32" s="342" t="e">
        <f>IF(#REF!,#REF!,#REF!)</f>
        <v>#REF!</v>
      </c>
      <c r="E32" s="353">
        <f>E31*'2. Check Reference Home'!B36*(1+E12)</f>
        <v>281.00238408198243</v>
      </c>
      <c r="F32" s="346" t="str">
        <f>CONCATENATE("assuming the average home that needs a transfer has average costs of $",ROUND('2. Check Reference Home'!B36*(1+E12),0),"/yr (the same for all homes) once the price rise from insurance above is taken into account.")</f>
        <v>assuming the average home that needs a transfer has average costs of $1873/yr (the same for all homes) once the price rise from insurance above is taken into account.</v>
      </c>
      <c r="I32" s="30"/>
      <c r="J32" s="30"/>
      <c r="K32" s="30"/>
    </row>
    <row r="33" spans="2:11" ht="30.6" customHeight="1" thickBot="1">
      <c r="B33" s="342" t="e">
        <f>IF(#REF!,#REF!,#REF!)</f>
        <v>#REF!</v>
      </c>
      <c r="D33" s="344" t="str">
        <f>IF(B20,IF(B7,"Can the interventions be adequately funded out of insurance savings?","How will you fund interventions? What price rise should we allow for every home?"),"")</f>
        <v>Can the interventions be adequately funded out of insurance savings?</v>
      </c>
      <c r="E33" s="227"/>
      <c r="F33" s="227"/>
      <c r="I33" s="30"/>
      <c r="J33" s="30"/>
      <c r="K33" s="30"/>
    </row>
    <row r="34" spans="2:11" ht="31.5" customHeight="1" thickBot="1">
      <c r="B34" s="342" t="e">
        <f>IF(#REF!,#REF!,#REF!)</f>
        <v>#REF!</v>
      </c>
      <c r="D34" s="31" t="str">
        <f>IF(B20,IF(B7,"If not, nominate an additional percentage:","Nominate a percentage:"),"")</f>
        <v>If not, nominate an additional percentage:</v>
      </c>
      <c r="E34" s="347">
        <v>0.01</v>
      </c>
      <c r="I34" s="30"/>
      <c r="J34" s="30"/>
      <c r="K34" s="30"/>
    </row>
    <row r="35" spans="2:11" ht="27.95" customHeight="1">
      <c r="B35" s="342" t="e">
        <f>IF(#REF!,#REF!,#REF!)</f>
        <v>#REF!</v>
      </c>
      <c r="D35" s="344"/>
      <c r="E35" s="343"/>
      <c r="F35" s="343"/>
      <c r="I35" s="30"/>
      <c r="J35" s="30"/>
      <c r="K35" s="30"/>
    </row>
    <row r="36" spans="2:11" ht="24.6" customHeight="1">
      <c r="B36" s="342" t="e">
        <f>IF(#REF!,#REF!,#REF!)</f>
        <v>#REF!</v>
      </c>
      <c r="D36" s="183" t="s">
        <v>343</v>
      </c>
      <c r="E36" s="298" t="s">
        <v>344</v>
      </c>
      <c r="F36" s="340" t="s">
        <v>345</v>
      </c>
      <c r="G36" s="22"/>
      <c r="I36" s="176"/>
      <c r="J36" s="30"/>
      <c r="K36" s="30"/>
    </row>
    <row r="37" spans="2:11" ht="24.6" customHeight="1">
      <c r="B37" s="342" t="e">
        <f>IF(#REF!,#REF!,#REF!)</f>
        <v>#REF!</v>
      </c>
      <c r="E37" s="174" t="s">
        <v>328</v>
      </c>
      <c r="F37" s="174" t="s">
        <v>328</v>
      </c>
      <c r="G37" s="174"/>
      <c r="H37" s="174"/>
      <c r="I37" s="307"/>
      <c r="J37" s="30"/>
      <c r="K37" s="30"/>
    </row>
    <row r="38" spans="2:11" ht="29.1" customHeight="1">
      <c r="B38" s="342" t="e">
        <f>IF(#REF!,#REF!,#REF!)</f>
        <v>#REF!</v>
      </c>
      <c r="D38" s="21" t="str">
        <f>'4. Calculator'!D31</f>
        <v>Reference household</v>
      </c>
      <c r="E38" s="305">
        <f>'Different homes'!BF5</f>
        <v>1891.1906484247709</v>
      </c>
      <c r="F38" s="305">
        <f>E38-'4. Calculator'!F31</f>
        <v>107.04852726932677</v>
      </c>
      <c r="G38" s="305"/>
      <c r="H38" s="305"/>
      <c r="I38" s="22"/>
      <c r="J38" s="30"/>
      <c r="K38" s="30"/>
    </row>
    <row r="39" spans="2:11" ht="26.1" customHeight="1">
      <c r="B39" s="342" t="e">
        <f>IF(#REF!,#REF!,#REF!)</f>
        <v>#REF!</v>
      </c>
      <c r="D39" s="21" t="str">
        <f>'4. Calculator'!D32</f>
        <v>average solar home</v>
      </c>
      <c r="E39" s="305">
        <f>'Different homes'!BF6</f>
        <v>1665.2734775108327</v>
      </c>
      <c r="F39" s="305">
        <f>E39-'4. Calculator'!F32</f>
        <v>-46.359504921663074</v>
      </c>
      <c r="G39" s="305"/>
      <c r="H39" s="305"/>
      <c r="I39" s="22"/>
    </row>
    <row r="40" spans="2:11" ht="24.6" customHeight="1">
      <c r="B40" s="342" t="e">
        <f>IF(#REF!,#REF!,#REF!)</f>
        <v>#REF!</v>
      </c>
      <c r="D40" s="21" t="str">
        <f>'4. Calculator'!D33</f>
        <v>average non-solar home</v>
      </c>
      <c r="E40" s="305">
        <f>'Different homes'!BF7</f>
        <v>1941.964299242233</v>
      </c>
      <c r="F40" s="305">
        <f>E40-'4. Calculator'!F33</f>
        <v>109.92250750427752</v>
      </c>
      <c r="G40" s="305"/>
      <c r="H40" s="305"/>
      <c r="I40" s="22"/>
    </row>
    <row r="41" spans="2:11" ht="24.6" customHeight="1">
      <c r="B41" s="342" t="e">
        <f>IF(#REF!,#REF!,#REF!)</f>
        <v>#REF!</v>
      </c>
      <c r="D41" s="21" t="str">
        <f>'4. Calculator'!D34</f>
        <v>average gas home</v>
      </c>
      <c r="E41" s="305">
        <f>'Different homes'!BF8</f>
        <v>1339.7638068483125</v>
      </c>
      <c r="F41" s="305">
        <f>E41-'4. Calculator'!F34</f>
        <v>75.835687180093146</v>
      </c>
      <c r="G41" s="305"/>
      <c r="H41" s="305"/>
      <c r="I41" s="22"/>
    </row>
    <row r="42" spans="2:11" ht="24.6" customHeight="1">
      <c r="B42" s="342" t="e">
        <f>IF(#REF!,#REF!,#REF!)</f>
        <v>#REF!</v>
      </c>
      <c r="D42" s="21" t="str">
        <f>'4. Calculator'!D35</f>
        <v>average electric home</v>
      </c>
      <c r="E42" s="305">
        <f>'Different homes'!BF9</f>
        <v>2354.3746857105239</v>
      </c>
      <c r="F42" s="305">
        <f>E42-'4. Calculator'!F35</f>
        <v>133.26649164399214</v>
      </c>
      <c r="G42" s="305"/>
      <c r="H42" s="305"/>
      <c r="I42" s="22"/>
    </row>
    <row r="43" spans="2:11" ht="24.6" customHeight="1">
      <c r="B43" s="342" t="e">
        <f>IF(#REF!,#REF!,#REF!)</f>
        <v>#REF!</v>
      </c>
      <c r="D43" s="21" t="str">
        <f>'4. Calculator'!D36</f>
        <v>big gas home</v>
      </c>
      <c r="E43" s="305">
        <f>'Different homes'!BF10</f>
        <v>1995.2023532455835</v>
      </c>
      <c r="F43" s="305">
        <f>E43-'4. Calculator'!F36</f>
        <v>-307.21983562787295</v>
      </c>
      <c r="G43" s="305"/>
      <c r="H43" s="305"/>
      <c r="I43" s="22"/>
    </row>
    <row r="44" spans="2:11" ht="24.6" customHeight="1">
      <c r="B44" s="342" t="e">
        <f>IF(#REF!,#REF!,#REF!)</f>
        <v>#REF!</v>
      </c>
      <c r="D44" s="21" t="str">
        <f>'4. Calculator'!D37</f>
        <v>big solar home</v>
      </c>
      <c r="E44" s="305">
        <f>'Different homes'!BF11</f>
        <v>2308.2071039357465</v>
      </c>
      <c r="F44" s="305">
        <f>E44-'4. Calculator'!F37</f>
        <v>-659.98813496740695</v>
      </c>
      <c r="G44" s="305"/>
      <c r="H44" s="305"/>
      <c r="I44" s="22"/>
    </row>
    <row r="45" spans="2:11" ht="24.6" customHeight="1">
      <c r="B45" s="342" t="e">
        <f>IF(#REF!,#REF!,#REF!)</f>
        <v>#REF!</v>
      </c>
      <c r="D45" s="21" t="str">
        <f>'4. Calculator'!D38</f>
        <v>big electric home</v>
      </c>
      <c r="E45" s="305">
        <f>'Different homes'!BF12</f>
        <v>4232.2050549496398</v>
      </c>
      <c r="F45" s="305">
        <f>E45-'4. Calculator'!F38</f>
        <v>239.55877669526262</v>
      </c>
      <c r="G45" s="305"/>
      <c r="H45" s="305"/>
      <c r="I45" s="22"/>
    </row>
    <row r="46" spans="2:11" ht="24.6" customHeight="1">
      <c r="B46" s="342" t="e">
        <f>IF(#REF!,#REF!,#REF!)</f>
        <v>#REF!</v>
      </c>
      <c r="D46" s="21" t="str">
        <f>'4. Calculator'!D39</f>
        <v>Efficient Electrify Everything home (based on big home, EV, with solar, no battery)</v>
      </c>
      <c r="E46" s="305">
        <f>'Different homes'!BF13</f>
        <v>4710.4811349733345</v>
      </c>
      <c r="F46" s="305">
        <f>E46-'4. Calculator'!F39</f>
        <v>266.63100764000046</v>
      </c>
      <c r="G46" s="305"/>
      <c r="H46" s="305"/>
      <c r="I46" s="22"/>
    </row>
    <row r="47" spans="2:11" ht="24.6" customHeight="1">
      <c r="B47" s="342" t="e">
        <f>IF(#REF!,#REF!,#REF!)</f>
        <v>#REF!</v>
      </c>
      <c r="D47" s="21" t="str">
        <f>'4. Calculator'!D40</f>
        <v>Efficient Electrify Everything home with battery and load flex (reduced grid impact)</v>
      </c>
      <c r="E47" s="305">
        <f>'Different homes'!BF14</f>
        <v>2422.6691313007432</v>
      </c>
      <c r="F47" s="305">
        <f>E47-'4. Calculator'!F40</f>
        <v>137.13221497928726</v>
      </c>
      <c r="G47" s="305"/>
      <c r="H47" s="305"/>
      <c r="I47" s="22"/>
    </row>
    <row r="48" spans="2:11" ht="24.6" customHeight="1">
      <c r="B48" s="342" t="e">
        <f>IF(#REF!,#REF!,#REF!)</f>
        <v>#REF!</v>
      </c>
      <c r="D48" s="21" t="str">
        <f>'4. Calculator'!D41</f>
        <v>My original reference household (your tariffs)</v>
      </c>
      <c r="E48" s="305">
        <f>'Different homes'!BF15</f>
        <v>1891.1906484247711</v>
      </c>
      <c r="F48" s="305">
        <f>E48-'4. Calculator'!F41</f>
        <v>107.04852726932677</v>
      </c>
      <c r="G48" s="305"/>
      <c r="H48" s="305"/>
      <c r="I48" s="22"/>
    </row>
    <row r="49" spans="2:9" ht="24.6" customHeight="1">
      <c r="B49" s="342" t="e">
        <f>IF(#REF!,#REF!,#REF!)</f>
        <v>#REF!</v>
      </c>
      <c r="D49" s="21" t="str">
        <f>'4. Calculator'!D42</f>
        <v>Your household type 1</v>
      </c>
      <c r="E49" s="356" t="str">
        <f>IF('Different homes'!D16=0,"fill in your own home on Different homes tab",'Different homes'!AW16)</f>
        <v>fill in your own home on Different homes tab</v>
      </c>
      <c r="F49" s="305" t="e">
        <f>E49-'4. Calculator'!F42</f>
        <v>#VALUE!</v>
      </c>
      <c r="G49" s="201"/>
      <c r="H49" s="15"/>
      <c r="I49" s="22"/>
    </row>
    <row r="50" spans="2:9" ht="24.6" customHeight="1">
      <c r="D50" s="21" t="str">
        <f>'4. Calculator'!D43</f>
        <v>Your household type 2</v>
      </c>
      <c r="E50" s="356" t="str">
        <f>IF('Different homes'!D17=0,"fill in your own home on Different homes tab",'Different homes'!AW17)</f>
        <v>fill in your own home on Different homes tab</v>
      </c>
      <c r="F50" s="305" t="e">
        <f>E50-'4. Calculator'!F43</f>
        <v>#VALUE!</v>
      </c>
      <c r="G50" s="201"/>
      <c r="H50" s="15"/>
      <c r="I50" s="22"/>
    </row>
  </sheetData>
  <mergeCells count="2">
    <mergeCell ref="E27:F27"/>
    <mergeCell ref="E28:F28"/>
  </mergeCells>
  <conditionalFormatting sqref="F38:F50">
    <cfRule type="iconSet" priority="1">
      <iconSet iconSet="3Arrows">
        <cfvo type="percent" val="0"/>
        <cfvo type="percent" val="33"/>
        <cfvo type="percent" val="67"/>
      </iconSet>
    </cfRule>
  </conditionalFormatting>
  <conditionalFormatting sqref="G38:G48">
    <cfRule type="colorScale" priority="2">
      <colorScale>
        <cfvo type="min"/>
        <cfvo type="percentile" val="50"/>
        <cfvo type="max"/>
        <color rgb="FF63BE7B"/>
        <color rgb="FFFFEB84"/>
        <color rgb="FFF8696B"/>
      </colorScale>
    </cfRule>
  </conditionalFormatting>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13314" r:id="rId3" name="Check Box 2">
              <controlPr defaultSize="0" autoFill="0" autoLine="0" autoPict="0" altText="Tick for Yes">
                <anchor moveWithCells="1">
                  <from>
                    <xdr:col>4</xdr:col>
                    <xdr:colOff>546100</xdr:colOff>
                    <xdr:row>6</xdr:row>
                    <xdr:rowOff>25400</xdr:rowOff>
                  </from>
                  <to>
                    <xdr:col>4</xdr:col>
                    <xdr:colOff>1022350</xdr:colOff>
                    <xdr:row>6</xdr:row>
                    <xdr:rowOff>285750</xdr:rowOff>
                  </to>
                </anchor>
              </controlPr>
            </control>
          </mc:Choice>
        </mc:AlternateContent>
        <mc:AlternateContent xmlns:mc="http://schemas.openxmlformats.org/markup-compatibility/2006">
          <mc:Choice Requires="x14">
            <control shapeId="13315" r:id="rId4" name="Check Box 3">
              <controlPr defaultSize="0" autoFill="0" autoLine="0" autoPict="0" altText="Tick for Yes">
                <anchor moveWithCells="1">
                  <from>
                    <xdr:col>4</xdr:col>
                    <xdr:colOff>546100</xdr:colOff>
                    <xdr:row>12</xdr:row>
                    <xdr:rowOff>25400</xdr:rowOff>
                  </from>
                  <to>
                    <xdr:col>4</xdr:col>
                    <xdr:colOff>1016000</xdr:colOff>
                    <xdr:row>12</xdr:row>
                    <xdr:rowOff>285750</xdr:rowOff>
                  </to>
                </anchor>
              </controlPr>
            </control>
          </mc:Choice>
        </mc:AlternateContent>
        <mc:AlternateContent xmlns:mc="http://schemas.openxmlformats.org/markup-compatibility/2006">
          <mc:Choice Requires="x14">
            <control shapeId="13316" r:id="rId5" name="Check Box 4">
              <controlPr defaultSize="0" autoFill="0" autoLine="0" autoPict="0" altText="Tick for Yes">
                <anchor moveWithCells="1">
                  <from>
                    <xdr:col>4</xdr:col>
                    <xdr:colOff>546100</xdr:colOff>
                    <xdr:row>19</xdr:row>
                    <xdr:rowOff>25400</xdr:rowOff>
                  </from>
                  <to>
                    <xdr:col>4</xdr:col>
                    <xdr:colOff>1016000</xdr:colOff>
                    <xdr:row>19</xdr:row>
                    <xdr:rowOff>285750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D3781B-9AE9-4C48-9248-5DBFC60A504A}">
  <sheetPr>
    <tabColor theme="7"/>
  </sheetPr>
  <dimension ref="A1:AG42"/>
  <sheetViews>
    <sheetView topLeftCell="A19" workbookViewId="0">
      <selection activeCell="E15" sqref="E15"/>
    </sheetView>
  </sheetViews>
  <sheetFormatPr defaultColWidth="8.7109375" defaultRowHeight="14.1"/>
  <cols>
    <col min="1" max="1" width="4.140625" style="330" customWidth="1"/>
    <col min="2" max="2" width="14.28515625" style="333" hidden="1" customWidth="1"/>
    <col min="3" max="3" width="8.7109375" style="15"/>
    <col min="4" max="4" width="73.42578125" style="15" customWidth="1"/>
    <col min="5" max="5" width="15" style="15" customWidth="1"/>
    <col min="6" max="6" width="11.42578125" style="15" customWidth="1"/>
    <col min="7" max="7" width="13" style="15" customWidth="1"/>
    <col min="8" max="8" width="65.85546875" style="15" customWidth="1"/>
    <col min="9" max="9" width="8.7109375" style="15"/>
    <col min="10" max="10" width="9.42578125" style="15" bestFit="1" customWidth="1"/>
    <col min="11" max="14" width="8.7109375" style="15"/>
    <col min="15" max="15" width="12" style="15" customWidth="1"/>
    <col min="16" max="16384" width="8.7109375" style="15"/>
  </cols>
  <sheetData>
    <row r="1" spans="1:33" s="331" customFormat="1">
      <c r="A1" s="330"/>
      <c r="B1" s="333"/>
    </row>
    <row r="2" spans="1:33" ht="24.6" customHeight="1">
      <c r="B2" s="333" t="str">
        <f>'1. Choose State'!K4</f>
        <v>NEM</v>
      </c>
      <c r="Y2" s="17"/>
    </row>
    <row r="3" spans="1:33" ht="24.6" customHeight="1">
      <c r="D3" s="183" t="s">
        <v>346</v>
      </c>
      <c r="E3" s="183"/>
      <c r="F3" s="183"/>
      <c r="G3" s="183"/>
      <c r="O3" s="17"/>
      <c r="P3" s="18"/>
      <c r="Q3" s="18"/>
      <c r="R3" s="18"/>
      <c r="S3" s="18"/>
      <c r="X3" s="19"/>
    </row>
    <row r="4" spans="1:33" ht="24.95" customHeight="1">
      <c r="H4" s="127"/>
      <c r="M4" s="19"/>
      <c r="N4" s="19"/>
      <c r="O4" s="19"/>
      <c r="P4" s="19"/>
      <c r="Q4" s="19"/>
      <c r="R4" s="19"/>
      <c r="S4" s="19"/>
      <c r="T4" s="19"/>
      <c r="U4" s="19"/>
      <c r="V4" s="19"/>
      <c r="W4" s="19"/>
      <c r="X4" s="19"/>
    </row>
    <row r="5" spans="1:33" s="21" customFormat="1" ht="39.6" customHeight="1">
      <c r="A5" s="332"/>
      <c r="B5" s="334" t="e">
        <f>IF(#REF!,#REF!,#REF!)</f>
        <v>#REF!</v>
      </c>
      <c r="D5" s="127" t="s">
        <v>347</v>
      </c>
      <c r="E5" s="127"/>
      <c r="F5" s="418" t="s">
        <v>348</v>
      </c>
      <c r="G5" s="418"/>
      <c r="H5" s="418"/>
      <c r="I5" s="22"/>
      <c r="K5" s="25"/>
      <c r="L5" s="26"/>
      <c r="M5" s="26"/>
      <c r="O5" s="27"/>
      <c r="P5" s="28"/>
      <c r="Q5" s="28"/>
      <c r="R5" s="28"/>
      <c r="S5" s="28"/>
      <c r="T5" s="28"/>
      <c r="U5" s="29"/>
      <c r="Y5" s="30"/>
      <c r="Z5" s="30"/>
      <c r="AA5" s="30"/>
      <c r="AB5" s="30"/>
      <c r="AC5" s="31"/>
      <c r="AD5" s="30"/>
      <c r="AE5" s="30"/>
      <c r="AF5" s="30"/>
      <c r="AG5" s="30"/>
    </row>
    <row r="6" spans="1:33" s="21" customFormat="1" ht="24.6" customHeight="1">
      <c r="A6" s="332"/>
      <c r="B6" s="334" t="e">
        <f>IF(#REF!,#REF!,#REF!)</f>
        <v>#REF!</v>
      </c>
      <c r="D6" s="358" t="str">
        <f>'4. Calculator'!D16</f>
        <v/>
      </c>
      <c r="E6" s="360" t="str">
        <f>IF(OR('4. Calculator'!B5=1,'4. Calculator'!B5=3),Lookups!O100,"")</f>
        <v/>
      </c>
      <c r="F6" s="227" t="s">
        <v>349</v>
      </c>
      <c r="G6" s="360"/>
      <c r="H6" s="344"/>
      <c r="I6" s="22"/>
      <c r="K6" s="25"/>
      <c r="L6" s="26"/>
      <c r="M6" s="26"/>
      <c r="O6" s="27"/>
      <c r="P6" s="28"/>
      <c r="Q6" s="28"/>
      <c r="R6" s="28"/>
      <c r="S6" s="28"/>
      <c r="T6" s="28"/>
      <c r="U6" s="29"/>
      <c r="Y6" s="30"/>
      <c r="Z6" s="23"/>
      <c r="AA6" s="23"/>
      <c r="AB6" s="23"/>
      <c r="AC6" s="31"/>
      <c r="AD6" s="23"/>
      <c r="AE6" s="23"/>
      <c r="AF6" s="30"/>
      <c r="AG6" s="23"/>
    </row>
    <row r="7" spans="1:33" s="21" customFormat="1" ht="24.6" customHeight="1">
      <c r="A7" s="332"/>
      <c r="B7" s="334" t="e">
        <f>IF(#REF!,#REF!,#REF!)</f>
        <v>#REF!</v>
      </c>
      <c r="D7" s="31" t="str">
        <f>'4. Calculator'!D17</f>
        <v>Peak usage charge during top 100 hours of the year</v>
      </c>
      <c r="E7" s="174">
        <f>IF(OR('4. Calculator'!B5=2,'4. Calculator'!B5=3),Lookups!O101/10,"")</f>
        <v>299.17298570560814</v>
      </c>
      <c r="F7" s="256" t="s">
        <v>317</v>
      </c>
      <c r="G7" s="174"/>
      <c r="I7" s="22"/>
      <c r="K7" s="25"/>
      <c r="L7" s="26"/>
      <c r="M7" s="26"/>
      <c r="O7" s="27"/>
      <c r="P7" s="28"/>
      <c r="Q7" s="28"/>
      <c r="R7" s="28"/>
      <c r="S7" s="28"/>
      <c r="T7" s="28"/>
      <c r="U7" s="29"/>
      <c r="Y7" s="30"/>
      <c r="Z7" s="23"/>
      <c r="AA7" s="23"/>
      <c r="AB7" s="23"/>
      <c r="AC7" s="31"/>
      <c r="AD7" s="23"/>
      <c r="AE7" s="23"/>
      <c r="AF7" s="30"/>
      <c r="AG7" s="23"/>
    </row>
    <row r="8" spans="1:33" s="21" customFormat="1" ht="24.6" customHeight="1">
      <c r="A8" s="332"/>
      <c r="B8" s="334" t="e">
        <f>IF(#REF!,#REF!,#REF!)</f>
        <v>#REF!</v>
      </c>
      <c r="D8" s="358" t="str">
        <f>'4. Calculator'!D18</f>
        <v>Main tariff targeted at fossil fuel times</v>
      </c>
      <c r="E8" s="205">
        <f>Lookups!O102/10</f>
        <v>9.8902639623487705</v>
      </c>
      <c r="F8" s="227" t="s">
        <v>317</v>
      </c>
      <c r="G8" s="205"/>
      <c r="H8" s="344"/>
      <c r="I8" s="22"/>
      <c r="K8" s="25"/>
      <c r="L8" s="26"/>
      <c r="M8" s="26"/>
      <c r="O8" s="27"/>
      <c r="P8" s="28"/>
      <c r="Q8" s="28"/>
      <c r="R8" s="28"/>
      <c r="S8" s="28"/>
      <c r="T8" s="28"/>
      <c r="U8" s="29"/>
      <c r="Y8" s="30"/>
      <c r="Z8" s="23"/>
      <c r="AA8" s="23"/>
      <c r="AB8" s="23"/>
      <c r="AC8" s="31"/>
      <c r="AD8" s="23"/>
      <c r="AE8" s="23"/>
      <c r="AF8" s="30"/>
      <c r="AG8" s="23"/>
    </row>
    <row r="9" spans="1:33" s="21" customFormat="1" ht="24.6" customHeight="1">
      <c r="A9" s="332"/>
      <c r="B9" s="334" t="e">
        <f>IF(#REF!,#REF!,#REF!)</f>
        <v>#REF!</v>
      </c>
      <c r="D9" s="31" t="str">
        <f>'4. Calculator'!D19</f>
        <v>Solar sponge tariff</v>
      </c>
      <c r="E9" s="299">
        <f>IF('4. Calculator'!B7,Lookups!O103/10,"")</f>
        <v>5.4836541622790911</v>
      </c>
      <c r="F9" s="256" t="s">
        <v>317</v>
      </c>
      <c r="G9" s="299"/>
      <c r="I9" s="22"/>
      <c r="K9" s="25"/>
      <c r="L9" s="26"/>
      <c r="M9" s="26"/>
      <c r="O9" s="27"/>
      <c r="P9" s="28"/>
      <c r="Q9" s="28"/>
      <c r="R9" s="28"/>
      <c r="S9" s="28"/>
      <c r="T9" s="28"/>
      <c r="U9" s="29"/>
      <c r="Y9" s="30"/>
      <c r="Z9" s="23"/>
      <c r="AA9" s="23"/>
      <c r="AB9" s="23"/>
      <c r="AC9" s="31"/>
      <c r="AD9" s="23"/>
      <c r="AE9" s="23"/>
      <c r="AF9" s="30"/>
      <c r="AG9" s="23"/>
    </row>
    <row r="10" spans="1:33" s="21" customFormat="1" ht="24.6" customHeight="1">
      <c r="A10" s="332"/>
      <c r="B10" s="334" t="e">
        <f>IF(#REF!,#REF!,#REF!)</f>
        <v>#REF!</v>
      </c>
      <c r="D10" s="358" t="str">
        <f>'4. Calculator'!D20</f>
        <v>Flexible load tariff</v>
      </c>
      <c r="E10" s="357">
        <f>IF('4. Calculator'!B8,Lookups!O104/10,"")</f>
        <v>5.4836541622790911</v>
      </c>
      <c r="F10" s="227" t="s">
        <v>317</v>
      </c>
      <c r="G10" s="357"/>
      <c r="H10" s="344"/>
      <c r="I10" s="22"/>
      <c r="L10" s="26"/>
      <c r="M10" s="26"/>
      <c r="O10" s="27"/>
      <c r="P10" s="28"/>
      <c r="Q10" s="28"/>
      <c r="R10" s="28"/>
      <c r="S10" s="28"/>
      <c r="T10" s="28"/>
      <c r="U10" s="29"/>
      <c r="Y10" s="30"/>
      <c r="Z10" s="23"/>
      <c r="AA10" s="23"/>
      <c r="AB10" s="23"/>
      <c r="AC10" s="31"/>
      <c r="AD10" s="23"/>
      <c r="AE10" s="23"/>
      <c r="AF10" s="30"/>
      <c r="AG10" s="23"/>
    </row>
    <row r="11" spans="1:33" s="21" customFormat="1" ht="24.6" customHeight="1">
      <c r="A11" s="332"/>
      <c r="B11" s="334" t="e">
        <f>IF(#REF!,#REF!,#REF!)</f>
        <v>#REF!</v>
      </c>
      <c r="D11" s="31"/>
      <c r="E11" s="299"/>
      <c r="F11" s="299"/>
      <c r="G11" s="299"/>
      <c r="H11" s="256"/>
      <c r="I11" s="22"/>
      <c r="J11" s="29"/>
      <c r="L11" s="26"/>
      <c r="M11" s="26"/>
      <c r="O11" s="27"/>
      <c r="P11" s="28"/>
      <c r="Q11" s="28"/>
      <c r="R11" s="28"/>
      <c r="S11" s="28"/>
      <c r="T11" s="28"/>
      <c r="U11" s="29"/>
      <c r="Y11" s="30"/>
      <c r="Z11" s="23"/>
      <c r="AA11" s="23"/>
      <c r="AB11" s="23"/>
      <c r="AC11" s="31"/>
      <c r="AD11" s="23"/>
      <c r="AE11" s="23"/>
      <c r="AF11" s="30"/>
      <c r="AG11" s="23"/>
    </row>
    <row r="12" spans="1:33" s="21" customFormat="1" ht="24.6" customHeight="1" thickBot="1">
      <c r="A12" s="332"/>
      <c r="B12" s="334" t="e">
        <f>IF(#REF!,#REF!,#REF!)</f>
        <v>#REF!</v>
      </c>
      <c r="D12" s="359" t="s">
        <v>315</v>
      </c>
      <c r="E12" s="350"/>
      <c r="F12" s="350"/>
      <c r="G12" s="350"/>
      <c r="H12" s="227"/>
      <c r="I12" s="22"/>
      <c r="L12" s="26"/>
      <c r="M12" s="26"/>
      <c r="O12" s="27"/>
      <c r="P12" s="28"/>
      <c r="Q12" s="28"/>
      <c r="R12" s="28"/>
      <c r="S12" s="28"/>
      <c r="T12" s="28"/>
      <c r="U12" s="29"/>
      <c r="Y12" s="30"/>
      <c r="Z12" s="23"/>
      <c r="AA12" s="23"/>
      <c r="AB12" s="23"/>
      <c r="AC12" s="31"/>
      <c r="AD12" s="23"/>
      <c r="AE12" s="23"/>
      <c r="AF12" s="30"/>
      <c r="AG12" s="23"/>
    </row>
    <row r="13" spans="1:33" s="21" customFormat="1" ht="24.6" customHeight="1" thickBot="1">
      <c r="A13" s="332"/>
      <c r="B13" s="334" t="e">
        <f>IF(#REF!,#REF!,#REF!)</f>
        <v>#REF!</v>
      </c>
      <c r="D13" s="31" t="str">
        <f>CONCATENATE("What level of fixed costs is reasonable? (currently $",ROUND(Lookups!O99,0)," per year)")</f>
        <v>What level of fixed costs is reasonable? (currently $365 per year)</v>
      </c>
      <c r="E13" s="361">
        <f>Lookups!O99</f>
        <v>364.55813541929433</v>
      </c>
      <c r="F13" s="419" t="s">
        <v>350</v>
      </c>
      <c r="G13" s="418"/>
      <c r="H13" s="418"/>
      <c r="I13" s="22"/>
      <c r="L13" s="26"/>
      <c r="M13" s="26"/>
      <c r="O13" s="27"/>
      <c r="P13" s="28"/>
      <c r="Q13" s="28"/>
      <c r="R13" s="28"/>
      <c r="S13" s="28"/>
      <c r="T13" s="28"/>
      <c r="U13" s="29"/>
      <c r="Y13" s="30"/>
      <c r="Z13" s="23"/>
      <c r="AA13" s="23"/>
      <c r="AB13" s="23"/>
      <c r="AC13" s="31"/>
      <c r="AD13" s="23"/>
      <c r="AE13" s="23"/>
      <c r="AF13" s="30"/>
      <c r="AG13" s="23"/>
    </row>
    <row r="14" spans="1:33" s="21" customFormat="1" ht="36.6" customHeight="1" thickBot="1">
      <c r="A14" s="332"/>
      <c r="B14" s="334" t="e">
        <f>IF(#REF!,#REF!,#REF!)</f>
        <v>#REF!</v>
      </c>
      <c r="D14" s="359" t="s">
        <v>185</v>
      </c>
      <c r="E14" s="375">
        <f>'Different homes'!BP5</f>
        <v>656.66351177971092</v>
      </c>
      <c r="F14" s="350" t="s">
        <v>351</v>
      </c>
      <c r="G14" s="375"/>
      <c r="H14" s="344"/>
      <c r="I14" s="22"/>
      <c r="L14" s="26"/>
      <c r="M14" s="26"/>
      <c r="O14" s="27"/>
      <c r="P14" s="28"/>
      <c r="Q14" s="28"/>
      <c r="R14" s="28"/>
      <c r="S14" s="28"/>
      <c r="T14" s="28"/>
      <c r="U14" s="29"/>
      <c r="Y14" s="30"/>
      <c r="Z14" s="23"/>
      <c r="AA14" s="23"/>
      <c r="AB14" s="23"/>
      <c r="AC14" s="31"/>
      <c r="AD14" s="23"/>
      <c r="AE14" s="23"/>
      <c r="AF14" s="30"/>
      <c r="AG14" s="23"/>
    </row>
    <row r="15" spans="1:33" s="21" customFormat="1" ht="24.6" customHeight="1" thickBot="1">
      <c r="A15" s="332"/>
      <c r="B15" s="334" t="e">
        <f>IF(#REF!,#REF!,#REF!)</f>
        <v>#REF!</v>
      </c>
      <c r="D15" s="31" t="s">
        <v>352</v>
      </c>
      <c r="E15" s="363">
        <v>0.25</v>
      </c>
      <c r="F15" s="419" t="str">
        <f>CONCATENATE("This is roughly a ratio of low income to high income costs. The remaining ",ROUND(1-E15,2)*100,"% of residual costs that were originally allocated to the 10% of low income consumers will be re-spread across everyone else")</f>
        <v>This is roughly a ratio of low income to high income costs. The remaining 75% of residual costs that were originally allocated to the 10% of low income consumers will be re-spread across everyone else</v>
      </c>
      <c r="G15" s="418"/>
      <c r="H15" s="418"/>
      <c r="I15" s="22"/>
      <c r="L15" s="26"/>
      <c r="M15" s="26"/>
      <c r="O15" s="27"/>
      <c r="P15" s="28"/>
      <c r="Q15" s="28"/>
      <c r="R15" s="28"/>
      <c r="S15" s="28"/>
      <c r="T15" s="28"/>
      <c r="U15" s="29"/>
      <c r="Y15" s="30"/>
      <c r="Z15" s="23"/>
      <c r="AA15" s="23"/>
      <c r="AB15" s="23"/>
      <c r="AC15" s="31"/>
      <c r="AD15" s="23"/>
      <c r="AE15" s="23"/>
      <c r="AF15" s="30"/>
      <c r="AG15" s="23"/>
    </row>
    <row r="16" spans="1:33" ht="24.6" customHeight="1">
      <c r="B16" s="334" t="e">
        <f>IF(#REF!,#REF!,#REF!)</f>
        <v>#REF!</v>
      </c>
      <c r="D16" s="358"/>
      <c r="E16" s="358"/>
      <c r="F16" s="358"/>
      <c r="G16" s="358"/>
      <c r="H16" s="350"/>
      <c r="I16" s="34"/>
      <c r="L16" s="26"/>
      <c r="M16" s="26"/>
      <c r="N16" s="21"/>
      <c r="O16" s="27"/>
      <c r="P16" s="28"/>
      <c r="Q16" s="28"/>
      <c r="R16" s="28"/>
      <c r="S16" s="28"/>
      <c r="T16" s="28"/>
      <c r="U16" s="29"/>
      <c r="X16" s="21"/>
      <c r="Y16" s="30"/>
      <c r="Z16" s="23"/>
      <c r="AA16" s="23"/>
      <c r="AB16" s="23"/>
      <c r="AC16" s="31"/>
      <c r="AD16" s="23"/>
      <c r="AE16" s="23"/>
      <c r="AF16" s="30"/>
      <c r="AG16" s="23"/>
    </row>
    <row r="17" spans="2:33" ht="24.6" customHeight="1">
      <c r="B17" s="334" t="e">
        <f>IF(#REF!,#REF!,#REF!)</f>
        <v>#REF!</v>
      </c>
      <c r="D17" s="31" t="s">
        <v>353</v>
      </c>
      <c r="E17" s="31"/>
      <c r="F17" s="31"/>
      <c r="G17" s="31"/>
      <c r="H17" s="346"/>
      <c r="I17" s="16"/>
      <c r="L17" s="26"/>
      <c r="M17" s="26"/>
      <c r="N17" s="21"/>
      <c r="O17" s="27"/>
      <c r="P17" s="28"/>
      <c r="Q17" s="28"/>
      <c r="R17" s="28"/>
      <c r="S17" s="28"/>
      <c r="T17" s="28"/>
      <c r="U17" s="29"/>
      <c r="X17" s="21"/>
      <c r="Y17" s="30"/>
      <c r="Z17" s="23"/>
      <c r="AA17" s="23"/>
      <c r="AB17" s="23"/>
      <c r="AC17" s="31"/>
      <c r="AD17" s="23"/>
      <c r="AE17" s="23"/>
      <c r="AF17" s="30"/>
      <c r="AG17" s="23"/>
    </row>
    <row r="18" spans="2:33" ht="24.6" customHeight="1">
      <c r="B18" s="334" t="e">
        <f>IF(#REF!,#REF!,#REF!)</f>
        <v>#REF!</v>
      </c>
      <c r="D18" s="377" t="s">
        <v>354</v>
      </c>
      <c r="E18" s="358"/>
      <c r="F18" s="358"/>
      <c r="G18" s="358"/>
      <c r="H18" s="350"/>
      <c r="I18" s="16"/>
      <c r="L18" s="26"/>
      <c r="M18" s="26"/>
      <c r="N18" s="21"/>
      <c r="O18" s="27"/>
      <c r="P18" s="28"/>
      <c r="Q18" s="28"/>
      <c r="R18" s="28"/>
      <c r="S18" s="28"/>
      <c r="T18" s="28"/>
      <c r="U18" s="29"/>
      <c r="X18" s="21"/>
      <c r="Y18" s="30"/>
      <c r="Z18" s="23"/>
      <c r="AA18" s="23"/>
      <c r="AB18" s="23"/>
      <c r="AC18" s="31"/>
      <c r="AD18" s="23"/>
      <c r="AE18" s="23"/>
      <c r="AF18" s="30"/>
      <c r="AG18" s="23"/>
    </row>
    <row r="19" spans="2:33" ht="24.6" customHeight="1">
      <c r="B19" s="334" t="e">
        <f>IF(#REF!,#REF!,#REF!)</f>
        <v>#REF!</v>
      </c>
      <c r="D19" s="378" t="s">
        <v>355</v>
      </c>
      <c r="E19" s="31"/>
      <c r="F19" s="31"/>
      <c r="G19" s="31"/>
      <c r="H19" s="346"/>
    </row>
    <row r="20" spans="2:33" ht="24.6" customHeight="1">
      <c r="B20" s="334" t="e">
        <f>IF(#REF!,#REF!,#REF!)</f>
        <v>#REF!</v>
      </c>
      <c r="D20" s="377" t="s">
        <v>356</v>
      </c>
      <c r="E20" s="358"/>
      <c r="F20" s="358"/>
      <c r="G20" s="358"/>
      <c r="H20" s="350"/>
    </row>
    <row r="21" spans="2:33" ht="24.6" customHeight="1">
      <c r="B21" s="334"/>
      <c r="D21" s="378" t="s">
        <v>357</v>
      </c>
      <c r="E21" s="31"/>
      <c r="F21" s="31"/>
      <c r="G21" s="31"/>
      <c r="H21" s="346"/>
    </row>
    <row r="22" spans="2:33" ht="24.6" customHeight="1">
      <c r="B22" s="334" t="e">
        <f>IF(#REF!,#REF!,#REF!)</f>
        <v>#REF!</v>
      </c>
      <c r="D22" s="31"/>
      <c r="E22" s="31"/>
      <c r="F22" s="31"/>
      <c r="G22" s="31"/>
      <c r="H22" s="346"/>
    </row>
    <row r="23" spans="2:33" ht="43.5" customHeight="1">
      <c r="B23" s="334" t="e">
        <f>IF(#REF!,#REF!,#REF!)</f>
        <v>#REF!</v>
      </c>
      <c r="D23" s="183" t="s">
        <v>358</v>
      </c>
      <c r="E23" s="340" t="s">
        <v>359</v>
      </c>
      <c r="F23" s="340" t="s">
        <v>360</v>
      </c>
      <c r="G23" s="340" t="s">
        <v>361</v>
      </c>
      <c r="H23" s="362" t="s">
        <v>362</v>
      </c>
      <c r="L23" s="16"/>
      <c r="M23" s="16"/>
      <c r="N23" s="16"/>
    </row>
    <row r="24" spans="2:33" ht="24.6" customHeight="1">
      <c r="B24" s="334" t="e">
        <f>IF(#REF!,#REF!,#REF!)</f>
        <v>#REF!</v>
      </c>
      <c r="D24" s="21"/>
      <c r="E24" s="174" t="s">
        <v>328</v>
      </c>
      <c r="F24" s="174" t="s">
        <v>328</v>
      </c>
      <c r="G24" s="174" t="s">
        <v>328</v>
      </c>
      <c r="H24" s="174"/>
      <c r="L24" s="16"/>
      <c r="M24" s="16"/>
      <c r="N24" s="16"/>
    </row>
    <row r="25" spans="2:33" ht="30.6" customHeight="1">
      <c r="B25" s="334" t="e">
        <f>IF(#REF!,#REF!,#REF!)</f>
        <v>#REF!</v>
      </c>
      <c r="D25" s="21" t="str">
        <f>'4. Calculator'!D31</f>
        <v>Reference household</v>
      </c>
      <c r="E25" s="305">
        <f>'Different homes'!BS5</f>
        <v>1947.7366730502461</v>
      </c>
      <c r="F25" s="305">
        <f>'Different homes'!BR5</f>
        <v>1398.6930145899878</v>
      </c>
      <c r="G25" s="305">
        <f>'Different homes'!BO5</f>
        <v>1234.52713664506</v>
      </c>
      <c r="H25" s="305"/>
      <c r="L25" s="16"/>
      <c r="M25" s="16"/>
      <c r="N25" s="16"/>
    </row>
    <row r="26" spans="2:33" ht="31.5" customHeight="1">
      <c r="B26" s="334" t="e">
        <f>IF(#REF!,#REF!,#REF!)</f>
        <v>#REF!</v>
      </c>
      <c r="D26" s="21" t="str">
        <f>'4. Calculator'!D32</f>
        <v>average solar home</v>
      </c>
      <c r="E26" s="305">
        <f>'Different homes'!BS6</f>
        <v>1721.8195021363078</v>
      </c>
      <c r="F26" s="305">
        <f>'Different homes'!BR6</f>
        <v>1285.1952725612298</v>
      </c>
      <c r="G26" s="305">
        <f>'Different homes'!BO6</f>
        <v>1158.5025375780288</v>
      </c>
      <c r="H26" s="305"/>
      <c r="L26" s="16"/>
      <c r="M26" s="16"/>
      <c r="N26" s="16"/>
    </row>
    <row r="27" spans="2:33" ht="27.95" customHeight="1">
      <c r="B27" s="334" t="e">
        <f>IF(#REF!,#REF!,#REF!)</f>
        <v>#REF!</v>
      </c>
      <c r="D27" s="21" t="str">
        <f>'4. Calculator'!D33</f>
        <v>average non-solar home</v>
      </c>
      <c r="E27" s="305">
        <f>'Different homes'!BS7</f>
        <v>1998.5103238677082</v>
      </c>
      <c r="F27" s="305">
        <f>'Different homes'!BR7</f>
        <v>1441.6502328810232</v>
      </c>
      <c r="G27" s="305">
        <f>'Different homes'!BO7</f>
        <v>1274.8788774272866</v>
      </c>
      <c r="H27" s="305"/>
      <c r="L27" s="16"/>
      <c r="M27" s="16"/>
      <c r="N27" s="16"/>
    </row>
    <row r="28" spans="2:33" ht="24.6" customHeight="1">
      <c r="B28" s="334" t="e">
        <f>IF(#REF!,#REF!,#REF!)</f>
        <v>#REF!</v>
      </c>
      <c r="D28" s="21" t="str">
        <f>'4. Calculator'!D34</f>
        <v>average gas home</v>
      </c>
      <c r="E28" s="305">
        <f>'Different homes'!BS8</f>
        <v>1396.3098314737877</v>
      </c>
      <c r="F28" s="305">
        <f>'Different homes'!BR8</f>
        <v>1005.3367037457255</v>
      </c>
      <c r="G28" s="305">
        <f>'Different homes'!BO8</f>
        <v>893.86100271152975</v>
      </c>
      <c r="H28" s="305"/>
      <c r="L28" s="16"/>
      <c r="M28" s="16"/>
      <c r="N28" s="16"/>
    </row>
    <row r="29" spans="2:33" ht="24.6" customHeight="1">
      <c r="B29" s="334" t="e">
        <f>IF(#REF!,#REF!,#REF!)</f>
        <v>#REF!</v>
      </c>
      <c r="D29" s="21" t="str">
        <f>'4. Calculator'!D35</f>
        <v>average electric home</v>
      </c>
      <c r="E29" s="305">
        <f>'Different homes'!BS9</f>
        <v>2410.920710335999</v>
      </c>
      <c r="F29" s="305">
        <f>'Different homes'!BR9</f>
        <v>1720.1276989956061</v>
      </c>
      <c r="G29" s="305">
        <f>'Different homes'!BO9</f>
        <v>1508.7120367573002</v>
      </c>
      <c r="H29" s="305"/>
      <c r="L29" s="16"/>
      <c r="M29" s="16"/>
      <c r="N29" s="16"/>
    </row>
    <row r="30" spans="2:33" ht="29.1" customHeight="1">
      <c r="B30" s="334" t="e">
        <f>IF(#REF!,#REF!,#REF!)</f>
        <v>#REF!</v>
      </c>
      <c r="D30" s="21" t="str">
        <f>'4. Calculator'!D36</f>
        <v>big gas home</v>
      </c>
      <c r="E30" s="305">
        <f>'Different homes'!BS10</f>
        <v>2051.7483778710584</v>
      </c>
      <c r="F30" s="305">
        <f>'Different homes'!BR10</f>
        <v>1813.3126697849327</v>
      </c>
      <c r="G30" s="305">
        <f>'Different homes'!BO10</f>
        <v>1752.6827752980491</v>
      </c>
      <c r="H30" s="305"/>
      <c r="L30" s="16"/>
      <c r="M30" s="16"/>
      <c r="N30" s="16"/>
    </row>
    <row r="31" spans="2:33" ht="26.1" customHeight="1">
      <c r="B31" s="334" t="e">
        <f>IF(#REF!,#REF!,#REF!)</f>
        <v>#REF!</v>
      </c>
      <c r="D31" s="21" t="str">
        <f>'4. Calculator'!D37</f>
        <v>big solar home</v>
      </c>
      <c r="E31" s="305">
        <f>'Different homes'!BS11</f>
        <v>2364.7531285612217</v>
      </c>
      <c r="F31" s="305">
        <f>'Different homes'!BR11</f>
        <v>2175.5194291447829</v>
      </c>
      <c r="G31" s="305">
        <f>'Different homes'!BO11</f>
        <v>2131.2902042144615</v>
      </c>
      <c r="H31" s="305"/>
    </row>
    <row r="32" spans="2:33" ht="24.6" customHeight="1">
      <c r="B32" s="334" t="e">
        <f>IF(#REF!,#REF!,#REF!)</f>
        <v>#REF!</v>
      </c>
      <c r="D32" s="21" t="str">
        <f>'4. Calculator'!D38</f>
        <v>big electric home</v>
      </c>
      <c r="E32" s="305">
        <f>'Different homes'!BS12</f>
        <v>4288.751079575115</v>
      </c>
      <c r="F32" s="305">
        <f>'Different homes'!BR12</f>
        <v>3024.3998856824296</v>
      </c>
      <c r="G32" s="305">
        <f>'Different homes'!BO12</f>
        <v>2621.7981625933594</v>
      </c>
      <c r="H32" s="305"/>
    </row>
    <row r="33" spans="2:10" ht="24.6" customHeight="1">
      <c r="B33" s="334" t="e">
        <f>IF(#REF!,#REF!,#REF!)</f>
        <v>#REF!</v>
      </c>
      <c r="D33" s="21" t="str">
        <f>'4. Calculator'!D39</f>
        <v>Efficient Electrify Everything home (based on big home, EV, with solar, no battery)</v>
      </c>
      <c r="E33" s="305">
        <f>'Different homes'!BS13</f>
        <v>4767.0271595988097</v>
      </c>
      <c r="F33" s="305">
        <f>'Different homes'!BR13</f>
        <v>3012.8500844750142</v>
      </c>
      <c r="G33" s="305">
        <f>'Different homes'!BO13</f>
        <v>2446.9730676422409</v>
      </c>
      <c r="H33" s="305"/>
    </row>
    <row r="34" spans="2:10" ht="24.6" customHeight="1">
      <c r="B34" s="334" t="e">
        <f>IF(#REF!,#REF!,#REF!)</f>
        <v>#REF!</v>
      </c>
      <c r="D34" s="21" t="str">
        <f>'4. Calculator'!D40</f>
        <v>Efficient Electrify Everything home with battery and load flex (reduced grid impact)</v>
      </c>
      <c r="E34" s="305">
        <f>'Different homes'!BS14</f>
        <v>2479.2151559262184</v>
      </c>
      <c r="F34" s="305">
        <f>'Different homes'!BR14</f>
        <v>1534.4740951629485</v>
      </c>
      <c r="G34" s="305">
        <f>'Different homes'!BO14</f>
        <v>1238.409083117017</v>
      </c>
      <c r="H34" s="305"/>
      <c r="J34" s="45"/>
    </row>
    <row r="35" spans="2:10" ht="24.6" customHeight="1">
      <c r="B35" s="334" t="e">
        <f>IF(#REF!,#REF!,#REF!)</f>
        <v>#REF!</v>
      </c>
      <c r="D35" s="21" t="str">
        <f>'4. Calculator'!D41</f>
        <v>My original reference household (your tariffs)</v>
      </c>
      <c r="E35" s="305">
        <f>'Different homes'!BS15</f>
        <v>1947.7366730502463</v>
      </c>
      <c r="F35" s="305">
        <f>'Different homes'!BR15</f>
        <v>1398.6930145899878</v>
      </c>
      <c r="G35" s="305">
        <f>'Different homes'!BO15</f>
        <v>1234.52713664506</v>
      </c>
      <c r="H35" s="305"/>
      <c r="J35" s="47"/>
    </row>
    <row r="36" spans="2:10" ht="36" customHeight="1">
      <c r="B36" s="334" t="e">
        <f>IF(#REF!,#REF!,#REF!)</f>
        <v>#REF!</v>
      </c>
      <c r="D36" s="21" t="str">
        <f>'4. Calculator'!D42</f>
        <v>Your household type 1</v>
      </c>
      <c r="E36" s="353" t="str">
        <f>IF('Different homes'!D16=0,"fill in your own home on Different homes tab",'Different homes'!AW16)</f>
        <v>fill in your own home on Different homes tab</v>
      </c>
      <c r="F36" s="305"/>
      <c r="G36" s="356"/>
      <c r="H36" s="305"/>
    </row>
    <row r="37" spans="2:10" ht="36" customHeight="1">
      <c r="B37" s="334" t="e">
        <f>IF(#REF!,#REF!,#REF!)</f>
        <v>#REF!</v>
      </c>
      <c r="D37" s="21" t="str">
        <f>'4. Calculator'!D43</f>
        <v>Your household type 2</v>
      </c>
      <c r="E37" s="353" t="str">
        <f>IF('Different homes'!D17=0,"fill in your own home on Different homes tab",'Different homes'!AW17)</f>
        <v>fill in your own home on Different homes tab</v>
      </c>
      <c r="F37" s="305"/>
      <c r="G37" s="356"/>
      <c r="H37" s="305"/>
    </row>
    <row r="38" spans="2:10" ht="24.6" customHeight="1">
      <c r="B38" s="334" t="e">
        <f>IF(#REF!,#REF!,#REF!)</f>
        <v>#REF!</v>
      </c>
    </row>
    <row r="39" spans="2:10" ht="24.6" customHeight="1">
      <c r="B39" s="334" t="e">
        <f>IF(#REF!,#REF!,#REF!)</f>
        <v>#REF!</v>
      </c>
    </row>
    <row r="40" spans="2:10" ht="24.6" customHeight="1">
      <c r="B40" s="334" t="e">
        <f>IF(#REF!,#REF!,#REF!)</f>
        <v>#REF!</v>
      </c>
      <c r="D40" s="48"/>
      <c r="E40" s="48"/>
      <c r="F40" s="48"/>
      <c r="G40" s="48"/>
      <c r="H40" s="48"/>
    </row>
    <row r="41" spans="2:10" ht="24.6" customHeight="1">
      <c r="B41" s="334" t="e">
        <f>IF(#REF!,#REF!,#REF!)</f>
        <v>#REF!</v>
      </c>
      <c r="D41" s="39"/>
      <c r="E41" s="39"/>
      <c r="F41" s="39"/>
      <c r="G41" s="39"/>
      <c r="H41" s="39"/>
    </row>
    <row r="42" spans="2:10" ht="24.6" customHeight="1"/>
  </sheetData>
  <mergeCells count="3">
    <mergeCell ref="F5:H5"/>
    <mergeCell ref="F13:H13"/>
    <mergeCell ref="F15:H15"/>
  </mergeCells>
  <conditionalFormatting sqref="H25:H37">
    <cfRule type="iconSet" priority="1">
      <iconSet iconSet="3Arrows">
        <cfvo type="percent" val="0"/>
        <cfvo type="percent" val="33"/>
        <cfvo type="percent" val="67"/>
      </iconSet>
    </cfRule>
  </conditionalFormatting>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7B18DBE6984A945BFF88D20CA2FCE3D" ma:contentTypeVersion="15" ma:contentTypeDescription="Create a new document." ma:contentTypeScope="" ma:versionID="f9adcf0ce4cd30e0a6a4ac2377980beb">
  <xsd:schema xmlns:xsd="http://www.w3.org/2001/XMLSchema" xmlns:xs="http://www.w3.org/2001/XMLSchema" xmlns:p="http://schemas.microsoft.com/office/2006/metadata/properties" xmlns:ns2="1742da7c-42e0-406c-8535-e8e8c266a900" xmlns:ns3="f2f6c895-698e-4dcd-80d2-cfed421b28f2" targetNamespace="http://schemas.microsoft.com/office/2006/metadata/properties" ma:root="true" ma:fieldsID="0be78fbfc2e9e443dd00494d9ca5bc75" ns2:_="" ns3:_="">
    <xsd:import namespace="1742da7c-42e0-406c-8535-e8e8c266a900"/>
    <xsd:import namespace="f2f6c895-698e-4dcd-80d2-cfed421b28f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bjectDetectorVersions" minOccurs="0"/>
                <xsd:element ref="ns3:MediaServiceSearchProperties" minOccurs="0"/>
                <xsd:element ref="ns3:lcf76f155ced4ddcb4097134ff3c332f" minOccurs="0"/>
                <xsd:element ref="ns2:TaxCatchAll" minOccurs="0"/>
                <xsd:element ref="ns3:MediaServiceDateTaken" minOccurs="0"/>
                <xsd:element ref="ns3:MediaServiceOCR" minOccurs="0"/>
                <xsd:element ref="ns3:MediaServiceGenerationTime" minOccurs="0"/>
                <xsd:element ref="ns3:MediaServiceEventHashCode" minOccurs="0"/>
                <xsd:element ref="ns3:MediaServiceLocatio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42da7c-42e0-406c-8535-e8e8c266a900"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40760929-a502-423b-bad0-fb5963953b08}" ma:internalName="TaxCatchAll" ma:showField="CatchAllData" ma:web="1742da7c-42e0-406c-8535-e8e8c266a90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2f6c895-698e-4dcd-80d2-cfed421b28f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b40d37ff-4b49-4a0e-9639-cf9ee044ed03"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2f6c895-698e-4dcd-80d2-cfed421b28f2">
      <Terms xmlns="http://schemas.microsoft.com/office/infopath/2007/PartnerControls"/>
    </lcf76f155ced4ddcb4097134ff3c332f>
    <TaxCatchAll xmlns="1742da7c-42e0-406c-8535-e8e8c266a900" xsi:nil="true"/>
  </documentManagement>
</p:properties>
</file>

<file path=customXml/itemProps1.xml><?xml version="1.0" encoding="utf-8"?>
<ds:datastoreItem xmlns:ds="http://schemas.openxmlformats.org/officeDocument/2006/customXml" ds:itemID="{72C01127-022B-4D40-8B91-6C5C5462D85B}"/>
</file>

<file path=customXml/itemProps2.xml><?xml version="1.0" encoding="utf-8"?>
<ds:datastoreItem xmlns:ds="http://schemas.openxmlformats.org/officeDocument/2006/customXml" ds:itemID="{3691CE56-5906-412B-B266-9F438D14CB26}"/>
</file>

<file path=customXml/itemProps3.xml><?xml version="1.0" encoding="utf-8"?>
<ds:datastoreItem xmlns:ds="http://schemas.openxmlformats.org/officeDocument/2006/customXml" ds:itemID="{BC8D0AA9-3717-4F20-9A21-4771620F539D}"/>
</file>

<file path=docProps/app.xml><?xml version="1.0" encoding="utf-8"?>
<Properties xmlns="http://schemas.openxmlformats.org/officeDocument/2006/extended-properties" xmlns:vt="http://schemas.openxmlformats.org/officeDocument/2006/docPropsVTypes">
  <Application>Microsoft Excel Online</Application>
  <Manager/>
  <Company>University of South Australia</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Smith, Heather Louise - smihl004</dc:creator>
  <cp:keywords/>
  <dc:description/>
  <cp:lastModifiedBy/>
  <cp:revision/>
  <dcterms:created xsi:type="dcterms:W3CDTF">2025-08-07T00:46:30Z</dcterms:created>
  <dcterms:modified xsi:type="dcterms:W3CDTF">2026-03-05T00:46:16Z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0x010100B7B18DBE6984A945BFF88D20CA2FCE3D</vt:lpwstr>
  </property>
</Properties>
</file>