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hydrotasmania-my.sharepoint.com/personal/colin_wain_hydro_com_au/Documents/FINAL Submissions/"/>
    </mc:Choice>
  </mc:AlternateContent>
  <bookViews>
    <workbookView xWindow="23560" yWindow="280" windowWidth="21800" windowHeight="12080"/>
  </bookViews>
  <sheets>
    <sheet name="#1 SSG optimisation binary" sheetId="1" r:id="rId1"/>
    <sheet name="#2 Sensitivity Report" sheetId="82" r:id="rId2"/>
    <sheet name="#2 SSG optimisation" sheetId="6" r:id="rId3"/>
    <sheet name="#3 Sensitivity Report" sheetId="83" r:id="rId4"/>
    <sheet name="#3 SSG pricing from binary opt" sheetId="3" r:id="rId5"/>
    <sheet name="#4 Sensitivity Report" sheetId="84" r:id="rId6"/>
    <sheet name="#4 SSG optimisation 2 SSGs" sheetId="8" r:id="rId7"/>
    <sheet name="#5 Sensitivity Report" sheetId="85" r:id="rId8"/>
    <sheet name="#5 SSG optimisation 2 SSGs" sheetId="17" r:id="rId9"/>
    <sheet name="#6 Sensitivity Report" sheetId="86" r:id="rId10"/>
    <sheet name="#6 SSG optimisation partial" sheetId="19" r:id="rId11"/>
    <sheet name="#7 SSG optimisation #6 binary" sheetId="21" r:id="rId12"/>
    <sheet name="#8 Sensitivity Report" sheetId="87" r:id="rId13"/>
    <sheet name="#8 SSG optimisation SSGs fixed" sheetId="24" r:id="rId14"/>
    <sheet name="#9 Sensitivity Report" sheetId="89" r:id="rId15"/>
    <sheet name="#9 SSG and Synch Con" sheetId="30" r:id="rId16"/>
    <sheet name="#10 Sensitivity Report" sheetId="90" r:id="rId17"/>
    <sheet name="#10 SSG Mode optimisation" sheetId="35" r:id="rId18"/>
    <sheet name="#11 Sensitivity Report" sheetId="91" r:id="rId19"/>
    <sheet name="#11 SSG Mode optimisation" sheetId="37" r:id="rId20"/>
    <sheet name="#12 Sensitivity Report" sheetId="92" r:id="rId21"/>
    <sheet name="#12 SSG Mode optimisation" sheetId="40" r:id="rId22"/>
    <sheet name="#13 Sensitivity Report" sheetId="96" r:id="rId23"/>
    <sheet name="#13 SSG Mode Neg Price" sheetId="45" r:id="rId24"/>
    <sheet name="#14 Sensitivity Report" sheetId="97" r:id="rId25"/>
    <sheet name="#14 SSG System Configuration" sheetId="58" r:id="rId26"/>
    <sheet name="#15 Wind const + non linear" sheetId="75" r:id="rId27"/>
    <sheet name="#16 Sensitivity Report" sheetId="98" r:id="rId28"/>
    <sheet name="#16 Pricing NL + SOS fixed" sheetId="76" r:id="rId29"/>
    <sheet name="#17 Pricing NL + rounded up" sheetId="80" r:id="rId30"/>
  </sheets>
  <definedNames>
    <definedName name="OpenSolver_ChosenSolver" localSheetId="23" hidden="1">CBC</definedName>
    <definedName name="OpenSolver_ChosenSolver" localSheetId="25" hidden="1">CBC</definedName>
    <definedName name="OpenSolver_ChosenSolver" localSheetId="26" hidden="1">CBC</definedName>
    <definedName name="OpenSolver_ChosenSolver" localSheetId="28" hidden="1">CBC</definedName>
    <definedName name="OpenSolver_ChosenSolver" localSheetId="29" hidden="1">CBC</definedName>
    <definedName name="OpenSolver_DualsNewSheet" localSheetId="23" hidden="1">0</definedName>
    <definedName name="OpenSolver_DualsNewSheet" localSheetId="25" hidden="1">0</definedName>
    <definedName name="OpenSolver_DualsNewSheet" localSheetId="26" hidden="1">0</definedName>
    <definedName name="OpenSolver_DualsNewSheet" localSheetId="28" hidden="1">0</definedName>
    <definedName name="OpenSolver_DualsNewSheet" localSheetId="29" hidden="1">0</definedName>
    <definedName name="OpenSolver_LinearityCheck" localSheetId="23" hidden="1">1</definedName>
    <definedName name="OpenSolver_LinearityCheck" localSheetId="25" hidden="1">1</definedName>
    <definedName name="OpenSolver_LinearityCheck" localSheetId="26" hidden="1">1</definedName>
    <definedName name="OpenSolver_LinearityCheck" localSheetId="28" hidden="1">1</definedName>
    <definedName name="OpenSolver_LinearityCheck" localSheetId="29" hidden="1">1</definedName>
    <definedName name="solver_adj" localSheetId="0" hidden="1">'#1 SSG optimisation binary'!$G$8,'#1 SSG optimisation binary'!$K$6:$K$8</definedName>
    <definedName name="solver_adj" localSheetId="17" hidden="1">'#10 SSG Mode optimisation'!$G$7:$G$9,'#10 SSG Mode optimisation'!$K$6:$K$9</definedName>
    <definedName name="solver_adj" localSheetId="19" hidden="1">'#11 SSG Mode optimisation'!$G$7:$G$9,'#11 SSG Mode optimisation'!$K$6:$K$9</definedName>
    <definedName name="solver_adj" localSheetId="21" hidden="1">'#12 SSG Mode optimisation'!$G$7:$G$9,'#12 SSG Mode optimisation'!$K$6:$K$9</definedName>
    <definedName name="solver_adj" localSheetId="23" hidden="1">'#13 SSG Mode Neg Price'!$G$7:$G$9,'#13 SSG Mode Neg Price'!$K$6:$K$9</definedName>
    <definedName name="solver_adj" localSheetId="25" hidden="1">'#14 SSG System Configuration'!$G$7:$G$10,'#14 SSG System Configuration'!$K$6:$K$10</definedName>
    <definedName name="solver_adj" localSheetId="26" hidden="1">'#15 Wind const + non linear'!$G$7:$G$11,'#15 Wind const + non linear'!$K$6:$K$11,'#15 Wind const + non linear'!$Q$16:$Q$19,'#15 Wind const + non linear'!$N$16:$N$19</definedName>
    <definedName name="solver_adj" localSheetId="28" hidden="1">'#16 Pricing NL + SOS fixed'!$G$7:$G$11,'#16 Pricing NL + SOS fixed'!$K$6:$K$11,'#16 Pricing NL + SOS fixed'!$Q$16:$Q$19</definedName>
    <definedName name="solver_adj" localSheetId="29" hidden="1">'#17 Pricing NL + rounded up'!$G$7:$G$11,'#17 Pricing NL + rounded up'!$K$6:$K$11,'#17 Pricing NL + rounded up'!$Q$16:$Q$19</definedName>
    <definedName name="solver_adj" localSheetId="2" hidden="1">'#2 SSG optimisation'!$G$8,'#2 SSG optimisation'!$K$6:$K$8</definedName>
    <definedName name="solver_adj" localSheetId="4" hidden="1">'#3 SSG pricing from binary opt'!$K$6:$K$8</definedName>
    <definedName name="solver_adj" localSheetId="6" hidden="1">'#4 SSG optimisation 2 SSGs'!$G$7:$G$8,'#4 SSG optimisation 2 SSGs'!$K$6:$K$8</definedName>
    <definedName name="solver_adj" localSheetId="8" hidden="1">'#5 SSG optimisation 2 SSGs'!$G$7:$G$8,'#5 SSG optimisation 2 SSGs'!$K$6:$K$8</definedName>
    <definedName name="solver_adj" localSheetId="10" hidden="1">'#6 SSG optimisation partial'!$G$7:$G$8,'#6 SSG optimisation partial'!$K$6:$K$8</definedName>
    <definedName name="solver_adj" localSheetId="11" hidden="1">'#7 SSG optimisation #6 binary'!$G$7:$G$8,'#7 SSG optimisation #6 binary'!$K$6:$K$8</definedName>
    <definedName name="solver_adj" localSheetId="13" hidden="1">'#8 SSG optimisation SSGs fixed'!$K$6:$K$8</definedName>
    <definedName name="solver_adj" localSheetId="15" hidden="1">'#9 SSG and Synch Con'!$G$7:$G$9,'#9 SSG and Synch Con'!$K$6:$K$9</definedName>
    <definedName name="solver_cvg" localSheetId="0" hidden="1">0.0001</definedName>
    <definedName name="solver_cvg" localSheetId="17" hidden="1">0.0001</definedName>
    <definedName name="solver_cvg" localSheetId="19" hidden="1">0.0001</definedName>
    <definedName name="solver_cvg" localSheetId="21" hidden="1">0.0001</definedName>
    <definedName name="solver_cvg" localSheetId="23" hidden="1">0.0001</definedName>
    <definedName name="solver_cvg" localSheetId="25" hidden="1">0.0001</definedName>
    <definedName name="solver_cvg" localSheetId="26" hidden="1">0.0001</definedName>
    <definedName name="solver_cvg" localSheetId="28" hidden="1">0.0001</definedName>
    <definedName name="solver_cvg" localSheetId="29" hidden="1">0.0001</definedName>
    <definedName name="solver_cvg" localSheetId="2" hidden="1">0.0001</definedName>
    <definedName name="solver_cvg" localSheetId="4" hidden="1">0.0001</definedName>
    <definedName name="solver_cvg" localSheetId="6" hidden="1">0.0001</definedName>
    <definedName name="solver_cvg" localSheetId="8" hidden="1">0.0001</definedName>
    <definedName name="solver_cvg" localSheetId="10" hidden="1">0.0001</definedName>
    <definedName name="solver_cvg" localSheetId="11" hidden="1">0.0001</definedName>
    <definedName name="solver_cvg" localSheetId="13" hidden="1">0.0001</definedName>
    <definedName name="solver_cvg" localSheetId="15" hidden="1">0.0001</definedName>
    <definedName name="solver_drv" localSheetId="0" hidden="1">2</definedName>
    <definedName name="solver_drv" localSheetId="17" hidden="1">2</definedName>
    <definedName name="solver_drv" localSheetId="19" hidden="1">2</definedName>
    <definedName name="solver_drv" localSheetId="21" hidden="1">2</definedName>
    <definedName name="solver_drv" localSheetId="23" hidden="1">2</definedName>
    <definedName name="solver_drv" localSheetId="25" hidden="1">2</definedName>
    <definedName name="solver_drv" localSheetId="26" hidden="1">2</definedName>
    <definedName name="solver_drv" localSheetId="28" hidden="1">2</definedName>
    <definedName name="solver_drv" localSheetId="29" hidden="1">2</definedName>
    <definedName name="solver_drv" localSheetId="2" hidden="1">2</definedName>
    <definedName name="solver_drv" localSheetId="4" hidden="1">1</definedName>
    <definedName name="solver_drv" localSheetId="6" hidden="1">2</definedName>
    <definedName name="solver_drv" localSheetId="8" hidden="1">2</definedName>
    <definedName name="solver_drv" localSheetId="10" hidden="1">2</definedName>
    <definedName name="solver_drv" localSheetId="11" hidden="1">2</definedName>
    <definedName name="solver_drv" localSheetId="13" hidden="1">2</definedName>
    <definedName name="solver_drv" localSheetId="15" hidden="1">2</definedName>
    <definedName name="solver_eng" localSheetId="0" hidden="1">2</definedName>
    <definedName name="solver_eng" localSheetId="17" hidden="1">2</definedName>
    <definedName name="solver_eng" localSheetId="19" hidden="1">2</definedName>
    <definedName name="solver_eng" localSheetId="21" hidden="1">2</definedName>
    <definedName name="solver_eng" localSheetId="23" hidden="1">2</definedName>
    <definedName name="solver_eng" localSheetId="25" hidden="1">2</definedName>
    <definedName name="solver_eng" localSheetId="26" hidden="1">2</definedName>
    <definedName name="solver_eng" localSheetId="28" hidden="1">2</definedName>
    <definedName name="solver_eng" localSheetId="29" hidden="1">2</definedName>
    <definedName name="solver_eng" localSheetId="2" hidden="1">2</definedName>
    <definedName name="solver_eng" localSheetId="4" hidden="1">2</definedName>
    <definedName name="solver_eng" localSheetId="6" hidden="1">2</definedName>
    <definedName name="solver_eng" localSheetId="8" hidden="1">2</definedName>
    <definedName name="solver_eng" localSheetId="10" hidden="1">2</definedName>
    <definedName name="solver_eng" localSheetId="11" hidden="1">2</definedName>
    <definedName name="solver_eng" localSheetId="13" hidden="1">2</definedName>
    <definedName name="solver_eng" localSheetId="15" hidden="1">2</definedName>
    <definedName name="solver_est" localSheetId="0" hidden="1">1</definedName>
    <definedName name="solver_est" localSheetId="17" hidden="1">1</definedName>
    <definedName name="solver_est" localSheetId="19" hidden="1">1</definedName>
    <definedName name="solver_est" localSheetId="21" hidden="1">1</definedName>
    <definedName name="solver_est" localSheetId="23" hidden="1">1</definedName>
    <definedName name="solver_est" localSheetId="25" hidden="1">1</definedName>
    <definedName name="solver_est" localSheetId="26" hidden="1">1</definedName>
    <definedName name="solver_est" localSheetId="28" hidden="1">1</definedName>
    <definedName name="solver_est" localSheetId="29" hidden="1">1</definedName>
    <definedName name="solver_est" localSheetId="2" hidden="1">1</definedName>
    <definedName name="solver_est" localSheetId="4" hidden="1">1</definedName>
    <definedName name="solver_est" localSheetId="6" hidden="1">1</definedName>
    <definedName name="solver_est" localSheetId="8" hidden="1">1</definedName>
    <definedName name="solver_est" localSheetId="10" hidden="1">1</definedName>
    <definedName name="solver_est" localSheetId="11" hidden="1">1</definedName>
    <definedName name="solver_est" localSheetId="13" hidden="1">1</definedName>
    <definedName name="solver_est" localSheetId="15" hidden="1">1</definedName>
    <definedName name="solver_itr" localSheetId="0" hidden="1">2147483647</definedName>
    <definedName name="solver_itr" localSheetId="17" hidden="1">2147483647</definedName>
    <definedName name="solver_itr" localSheetId="19" hidden="1">2147483647</definedName>
    <definedName name="solver_itr" localSheetId="21" hidden="1">2147483647</definedName>
    <definedName name="solver_itr" localSheetId="23" hidden="1">2147483647</definedName>
    <definedName name="solver_itr" localSheetId="25" hidden="1">2147483647</definedName>
    <definedName name="solver_itr" localSheetId="26" hidden="1">2147483647</definedName>
    <definedName name="solver_itr" localSheetId="28" hidden="1">2147483647</definedName>
    <definedName name="solver_itr" localSheetId="29" hidden="1">2147483647</definedName>
    <definedName name="solver_itr" localSheetId="2" hidden="1">2147483647</definedName>
    <definedName name="solver_itr" localSheetId="4" hidden="1">2147483647</definedName>
    <definedName name="solver_itr" localSheetId="6" hidden="1">2147483647</definedName>
    <definedName name="solver_itr" localSheetId="8" hidden="1">2147483647</definedName>
    <definedName name="solver_itr" localSheetId="10" hidden="1">2147483647</definedName>
    <definedName name="solver_itr" localSheetId="11" hidden="1">2147483647</definedName>
    <definedName name="solver_itr" localSheetId="13" hidden="1">2147483647</definedName>
    <definedName name="solver_itr" localSheetId="15" hidden="1">2147483647</definedName>
    <definedName name="solver_lhs1" localSheetId="0" hidden="1">'#1 SSG optimisation binary'!$C$12</definedName>
    <definedName name="solver_lhs1" localSheetId="17" hidden="1">'#10 SSG Mode optimisation'!$C$13</definedName>
    <definedName name="solver_lhs1" localSheetId="19" hidden="1">'#11 SSG Mode optimisation'!$C$13</definedName>
    <definedName name="solver_lhs1" localSheetId="21" hidden="1">'#12 SSG Mode optimisation'!$L$10</definedName>
    <definedName name="solver_lhs1" localSheetId="23" hidden="1">'#13 SSG Mode Neg Price'!$C$13</definedName>
    <definedName name="solver_lhs1" localSheetId="25" hidden="1">'#14 SSG System Configuration'!$L$11</definedName>
    <definedName name="solver_lhs1" localSheetId="26" hidden="1">'#15 Wind const + non linear'!$G$7:$G$11</definedName>
    <definedName name="solver_lhs1" localSheetId="28" hidden="1">'#16 Pricing NL + SOS fixed'!$G$7:$G$11</definedName>
    <definedName name="solver_lhs1" localSheetId="29" hidden="1">'#17 Pricing NL + rounded up'!$Q$20</definedName>
    <definedName name="solver_lhs1" localSheetId="2" hidden="1">'#2 SSG optimisation'!$C$12</definedName>
    <definedName name="solver_lhs1" localSheetId="4" hidden="1">'#3 SSG pricing from binary opt'!$C$12</definedName>
    <definedName name="solver_lhs1" localSheetId="6" hidden="1">'#4 SSG optimisation 2 SSGs'!$C$12</definedName>
    <definedName name="solver_lhs1" localSheetId="8" hidden="1">'#5 SSG optimisation 2 SSGs'!$C$12</definedName>
    <definedName name="solver_lhs1" localSheetId="10" hidden="1">'#6 SSG optimisation partial'!$C$12</definedName>
    <definedName name="solver_lhs1" localSheetId="11" hidden="1">'#7 SSG optimisation #6 binary'!$C$12</definedName>
    <definedName name="solver_lhs1" localSheetId="13" hidden="1">'#8 SSG optimisation SSGs fixed'!$C$12</definedName>
    <definedName name="solver_lhs1" localSheetId="15" hidden="1">'#9 SSG and Synch Con'!$L$10</definedName>
    <definedName name="solver_lhs10" localSheetId="26" hidden="1">'#15 Wind const + non linear'!$Q$16:$Q$19</definedName>
    <definedName name="solver_lhs10" localSheetId="28" hidden="1">'#16 Pricing NL + SOS fixed'!$Q$20</definedName>
    <definedName name="solver_lhs10" localSheetId="29" hidden="1">'#17 Pricing NL + rounded up'!$G$7:$G$11</definedName>
    <definedName name="solver_lhs11" localSheetId="26" hidden="1">'#15 Wind const + non linear'!$Q$16:$Q$19</definedName>
    <definedName name="solver_lhs11" localSheetId="28" hidden="1">'#16 Pricing NL + SOS fixed'!$Q$16:$Q$19</definedName>
    <definedName name="solver_lhs11" localSheetId="29" hidden="1">'#17 Pricing NL + rounded up'!$H$22</definedName>
    <definedName name="solver_lhs12" localSheetId="26" hidden="1">'#15 Wind const + non linear'!$Q$20</definedName>
    <definedName name="solver_lhs12" localSheetId="28" hidden="1">'#16 Pricing NL + SOS fixed'!$Q$20</definedName>
    <definedName name="solver_lhs12" localSheetId="29" hidden="1">'#17 Pricing NL + rounded up'!$Q$20</definedName>
    <definedName name="solver_lhs2" localSheetId="0" hidden="1">'#1 SSG optimisation binary'!$G$8</definedName>
    <definedName name="solver_lhs2" localSheetId="17" hidden="1">'#10 SSG Mode optimisation'!$G$7:$G$9</definedName>
    <definedName name="solver_lhs2" localSheetId="19" hidden="1">'#11 SSG Mode optimisation'!$L$10</definedName>
    <definedName name="solver_lhs2" localSheetId="21" hidden="1">'#12 SSG Mode optimisation'!$C$13</definedName>
    <definedName name="solver_lhs2" localSheetId="23" hidden="1">'#13 SSG Mode Neg Price'!$G$7:$G$9</definedName>
    <definedName name="solver_lhs2" localSheetId="25" hidden="1">'#14 SSG System Configuration'!$G$7:$G$10</definedName>
    <definedName name="solver_lhs2" localSheetId="26" hidden="1">'#15 Wind const + non linear'!$D$27</definedName>
    <definedName name="solver_lhs2" localSheetId="28" hidden="1">'#16 Pricing NL + SOS fixed'!$K$6:$K$11</definedName>
    <definedName name="solver_lhs2" localSheetId="29" hidden="1">'#17 Pricing NL + rounded up'!$Q$16:$Q$19</definedName>
    <definedName name="solver_lhs2" localSheetId="2" hidden="1">'#2 SSG optimisation'!$G$8</definedName>
    <definedName name="solver_lhs2" localSheetId="4" hidden="1">'#3 SSG pricing from binary opt'!$K$6:$K$8</definedName>
    <definedName name="solver_lhs2" localSheetId="6" hidden="1">'#4 SSG optimisation 2 SSGs'!$G$7:$G$8</definedName>
    <definedName name="solver_lhs2" localSheetId="8" hidden="1">'#5 SSG optimisation 2 SSGs'!$G$7:$G$8</definedName>
    <definedName name="solver_lhs2" localSheetId="10" hidden="1">'#6 SSG optimisation partial'!$G$7:$G$8</definedName>
    <definedName name="solver_lhs2" localSheetId="11" hidden="1">'#7 SSG optimisation #6 binary'!$G$7:$G$8</definedName>
    <definedName name="solver_lhs2" localSheetId="13" hidden="1">'#8 SSG optimisation SSGs fixed'!$K$6:$K$8</definedName>
    <definedName name="solver_lhs2" localSheetId="15" hidden="1">'#9 SSG and Synch Con'!$C$13</definedName>
    <definedName name="solver_lhs3" localSheetId="0" hidden="1">'#1 SSG optimisation binary'!$K$6:$K$8</definedName>
    <definedName name="solver_lhs3" localSheetId="17" hidden="1">'#10 SSG Mode optimisation'!$K$6:$K$9</definedName>
    <definedName name="solver_lhs3" localSheetId="19" hidden="1">'#11 SSG Mode optimisation'!$G$7:$G$9</definedName>
    <definedName name="solver_lhs3" localSheetId="21" hidden="1">'#12 SSG Mode optimisation'!$G$7:$G$9</definedName>
    <definedName name="solver_lhs3" localSheetId="23" hidden="1">'#13 SSG Mode Neg Price'!$K$6:$K$9</definedName>
    <definedName name="solver_lhs3" localSheetId="25" hidden="1">'#14 SSG System Configuration'!$D$20</definedName>
    <definedName name="solver_lhs3" localSheetId="26" hidden="1">'#15 Wind const + non linear'!$K$6:$K$11</definedName>
    <definedName name="solver_lhs3" localSheetId="28" hidden="1">'#16 Pricing NL + SOS fixed'!$L$12</definedName>
    <definedName name="solver_lhs3" localSheetId="29" hidden="1">'#17 Pricing NL + rounded up'!$Q$16:$Q$19</definedName>
    <definedName name="solver_lhs3" localSheetId="2" hidden="1">'#2 SSG optimisation'!$G$8</definedName>
    <definedName name="solver_lhs3" localSheetId="4" hidden="1">'#3 SSG pricing from binary opt'!$K$6:$K$8</definedName>
    <definedName name="solver_lhs3" localSheetId="6" hidden="1">'#4 SSG optimisation 2 SSGs'!$G$7:$G$8</definedName>
    <definedName name="solver_lhs3" localSheetId="8" hidden="1">'#5 SSG optimisation 2 SSGs'!$G$7:$G$8</definedName>
    <definedName name="solver_lhs3" localSheetId="10" hidden="1">'#6 SSG optimisation partial'!$G$7:$G$8</definedName>
    <definedName name="solver_lhs3" localSheetId="11" hidden="1">'#7 SSG optimisation #6 binary'!$G$7:$G$8</definedName>
    <definedName name="solver_lhs3" localSheetId="13" hidden="1">'#8 SSG optimisation SSGs fixed'!$K$6:$K$8</definedName>
    <definedName name="solver_lhs3" localSheetId="15" hidden="1">'#9 SSG and Synch Con'!$G$7:$G$9</definedName>
    <definedName name="solver_lhs4" localSheetId="0" hidden="1">'#1 SSG optimisation binary'!$K$6:$K$8</definedName>
    <definedName name="solver_lhs4" localSheetId="17" hidden="1">'#10 SSG Mode optimisation'!$K$6:$K$9</definedName>
    <definedName name="solver_lhs4" localSheetId="19" hidden="1">'#11 SSG Mode optimisation'!$D$15</definedName>
    <definedName name="solver_lhs4" localSheetId="21" hidden="1">'#12 SSG Mode optimisation'!$G$7:$G$9</definedName>
    <definedName name="solver_lhs4" localSheetId="23" hidden="1">'#13 SSG Mode Neg Price'!$D$15</definedName>
    <definedName name="solver_lhs4" localSheetId="25" hidden="1">'#14 SSG System Configuration'!$K$6:$K$10</definedName>
    <definedName name="solver_lhs4" localSheetId="26" hidden="1">'#15 Wind const + non linear'!$L$12</definedName>
    <definedName name="solver_lhs4" localSheetId="28" hidden="1">'#16 Pricing NL + SOS fixed'!$K$6:$K$11</definedName>
    <definedName name="solver_lhs4" localSheetId="29" hidden="1">'#17 Pricing NL + rounded up'!$C$15</definedName>
    <definedName name="solver_lhs4" localSheetId="2" hidden="1">'#2 SSG optimisation'!$K$6:$K$8</definedName>
    <definedName name="solver_lhs4" localSheetId="4" hidden="1">'#3 SSG pricing from binary opt'!$K$9</definedName>
    <definedName name="solver_lhs4" localSheetId="6" hidden="1">'#4 SSG optimisation 2 SSGs'!$K$6:$K$8</definedName>
    <definedName name="solver_lhs4" localSheetId="8" hidden="1">'#5 SSG optimisation 2 SSGs'!$K$6:$K$8</definedName>
    <definedName name="solver_lhs4" localSheetId="10" hidden="1">'#6 SSG optimisation partial'!$K$6:$K$8</definedName>
    <definedName name="solver_lhs4" localSheetId="11" hidden="1">'#7 SSG optimisation #6 binary'!$G$7:$G$8</definedName>
    <definedName name="solver_lhs4" localSheetId="13" hidden="1">'#8 SSG optimisation SSGs fixed'!$K$9</definedName>
    <definedName name="solver_lhs4" localSheetId="15" hidden="1">'#9 SSG and Synch Con'!$G$7:$G$9</definedName>
    <definedName name="solver_lhs5" localSheetId="0" hidden="1">'#1 SSG optimisation binary'!$K$9</definedName>
    <definedName name="solver_lhs5" localSheetId="17" hidden="1">'#10 SSG Mode optimisation'!$D$15</definedName>
    <definedName name="solver_lhs5" localSheetId="19" hidden="1">'#11 SSG Mode optimisation'!$K$6:$K$9</definedName>
    <definedName name="solver_lhs5" localSheetId="21" hidden="1">'#12 SSG Mode optimisation'!$K$6:$K$9</definedName>
    <definedName name="solver_lhs5" localSheetId="23" hidden="1">'#13 SSG Mode Neg Price'!$K$6:$K$9</definedName>
    <definedName name="solver_lhs5" localSheetId="25" hidden="1">'#14 SSG System Configuration'!$G$7:$G$10</definedName>
    <definedName name="solver_lhs5" localSheetId="26" hidden="1">'#15 Wind const + non linear'!$K$6:$K$11</definedName>
    <definedName name="solver_lhs5" localSheetId="28" hidden="1">'#16 Pricing NL + SOS fixed'!$D$27</definedName>
    <definedName name="solver_lhs5" localSheetId="29" hidden="1">'#17 Pricing NL + rounded up'!$L$12</definedName>
    <definedName name="solver_lhs5" localSheetId="2" hidden="1">'#2 SSG optimisation'!$K$6:$K$8</definedName>
    <definedName name="solver_lhs5" localSheetId="6" hidden="1">'#4 SSG optimisation 2 SSGs'!$K$6:$K$8</definedName>
    <definedName name="solver_lhs5" localSheetId="8" hidden="1">'#5 SSG optimisation 2 SSGs'!$K$6:$K$8</definedName>
    <definedName name="solver_lhs5" localSheetId="10" hidden="1">'#6 SSG optimisation partial'!$K$6:$K$8</definedName>
    <definedName name="solver_lhs5" localSheetId="11" hidden="1">'#7 SSG optimisation #6 binary'!$K$6:$K$8</definedName>
    <definedName name="solver_lhs5" localSheetId="13" hidden="1">'#8 SSG optimisation SSGs fixed'!$K$9</definedName>
    <definedName name="solver_lhs5" localSheetId="15" hidden="1">'#9 SSG and Synch Con'!$K$6:$K$9</definedName>
    <definedName name="solver_lhs6" localSheetId="17" hidden="1">'#10 SSG Mode optimisation'!$L$10</definedName>
    <definedName name="solver_lhs6" localSheetId="19" hidden="1">'#11 SSG Mode optimisation'!$G$7:$G$9</definedName>
    <definedName name="solver_lhs6" localSheetId="21" hidden="1">'#12 SSG Mode optimisation'!$D$15</definedName>
    <definedName name="solver_lhs6" localSheetId="23" hidden="1">'#13 SSG Mode Neg Price'!$G$7:$G$9</definedName>
    <definedName name="solver_lhs6" localSheetId="25" hidden="1">'#14 SSG System Configuration'!$H$15</definedName>
    <definedName name="solver_lhs6" localSheetId="26" hidden="1">'#15 Wind const + non linear'!$G$7:$G$11</definedName>
    <definedName name="solver_lhs6" localSheetId="28" hidden="1">'#16 Pricing NL + SOS fixed'!$G$7:$G$11</definedName>
    <definedName name="solver_lhs6" localSheetId="29" hidden="1">'#17 Pricing NL + rounded up'!$K$6:$K$11</definedName>
    <definedName name="solver_lhs6" localSheetId="2" hidden="1">'#2 SSG optimisation'!$K$9</definedName>
    <definedName name="solver_lhs6" localSheetId="6" hidden="1">'#4 SSG optimisation 2 SSGs'!$K$9</definedName>
    <definedName name="solver_lhs6" localSheetId="8" hidden="1">'#5 SSG optimisation 2 SSGs'!$K$9</definedName>
    <definedName name="solver_lhs6" localSheetId="10" hidden="1">'#6 SSG optimisation partial'!$K$9</definedName>
    <definedName name="solver_lhs6" localSheetId="11" hidden="1">'#7 SSG optimisation #6 binary'!$K$6:$K$8</definedName>
    <definedName name="solver_lhs6" localSheetId="13" hidden="1">'#8 SSG optimisation SSGs fixed'!$K$9</definedName>
    <definedName name="solver_lhs6" localSheetId="15" hidden="1">'#9 SSG and Synch Con'!$K$6:$K$9</definedName>
    <definedName name="solver_lhs7" localSheetId="17" hidden="1">'#10 SSG Mode optimisation'!$G$7:$G$9</definedName>
    <definedName name="solver_lhs7" localSheetId="19" hidden="1">'#11 SSG Mode optimisation'!$K$6:$K$9</definedName>
    <definedName name="solver_lhs7" localSheetId="21" hidden="1">'#12 SSG Mode optimisation'!$K$6:$K$9</definedName>
    <definedName name="solver_lhs7" localSheetId="23" hidden="1">'#13 SSG Mode Neg Price'!$L$10</definedName>
    <definedName name="solver_lhs7" localSheetId="25" hidden="1">'#14 SSG System Configuration'!$K$6:$K$10</definedName>
    <definedName name="solver_lhs7" localSheetId="26" hidden="1">'#15 Wind const + non linear'!$H$22</definedName>
    <definedName name="solver_lhs7" localSheetId="28" hidden="1">'#16 Pricing NL + SOS fixed'!$H$22</definedName>
    <definedName name="solver_lhs7" localSheetId="29" hidden="1">'#17 Pricing NL + rounded up'!$K$6:$K$11</definedName>
    <definedName name="solver_lhs7" localSheetId="6" hidden="1">'#4 SSG optimisation 2 SSGs'!$K$9</definedName>
    <definedName name="solver_lhs7" localSheetId="8" hidden="1">'#5 SSG optimisation 2 SSGs'!$K$9</definedName>
    <definedName name="solver_lhs7" localSheetId="10" hidden="1">'#6 SSG optimisation partial'!$K$9</definedName>
    <definedName name="solver_lhs7" localSheetId="11" hidden="1">'#7 SSG optimisation #6 binary'!$K$9</definedName>
    <definedName name="solver_lhs7" localSheetId="13" hidden="1">'#8 SSG optimisation SSGs fixed'!$K$9</definedName>
    <definedName name="solver_lhs7" localSheetId="15" hidden="1">'#9 SSG and Synch Con'!$L$10</definedName>
    <definedName name="solver_lhs8" localSheetId="25" hidden="1">'#14 SSG System Configuration'!$G$7:$G$10</definedName>
    <definedName name="solver_lhs8" localSheetId="26" hidden="1">'#15 Wind const + non linear'!$C$15</definedName>
    <definedName name="solver_lhs8" localSheetId="28" hidden="1">'#16 Pricing NL + SOS fixed'!$C$15</definedName>
    <definedName name="solver_lhs8" localSheetId="29" hidden="1">'#17 Pricing NL + rounded up'!$G$7:$G$11</definedName>
    <definedName name="solver_lhs9" localSheetId="26" hidden="1">'#15 Wind const + non linear'!$N$16:$N$19</definedName>
    <definedName name="solver_lhs9" localSheetId="28" hidden="1">'#16 Pricing NL + SOS fixed'!$Q$16:$Q$19</definedName>
    <definedName name="solver_lhs9" localSheetId="29" hidden="1">'#17 Pricing NL + rounded up'!$D$27</definedName>
    <definedName name="solver_mip" localSheetId="0" hidden="1">2147483647</definedName>
    <definedName name="solver_mip" localSheetId="17" hidden="1">2147483647</definedName>
    <definedName name="solver_mip" localSheetId="19" hidden="1">2147483647</definedName>
    <definedName name="solver_mip" localSheetId="21" hidden="1">2147483647</definedName>
    <definedName name="solver_mip" localSheetId="23" hidden="1">2147483647</definedName>
    <definedName name="solver_mip" localSheetId="25" hidden="1">2147483647</definedName>
    <definedName name="solver_mip" localSheetId="26" hidden="1">2147483647</definedName>
    <definedName name="solver_mip" localSheetId="28" hidden="1">2147483647</definedName>
    <definedName name="solver_mip" localSheetId="29" hidden="1">2147483647</definedName>
    <definedName name="solver_mip" localSheetId="2" hidden="1">2147483647</definedName>
    <definedName name="solver_mip" localSheetId="4" hidden="1">2147483647</definedName>
    <definedName name="solver_mip" localSheetId="6" hidden="1">2147483647</definedName>
    <definedName name="solver_mip" localSheetId="8" hidden="1">2147483647</definedName>
    <definedName name="solver_mip" localSheetId="10" hidden="1">2147483647</definedName>
    <definedName name="solver_mip" localSheetId="11" hidden="1">2147483647</definedName>
    <definedName name="solver_mip" localSheetId="13" hidden="1">2147483647</definedName>
    <definedName name="solver_mip" localSheetId="15" hidden="1">2147483647</definedName>
    <definedName name="solver_mni" localSheetId="0" hidden="1">30</definedName>
    <definedName name="solver_mni" localSheetId="17" hidden="1">30</definedName>
    <definedName name="solver_mni" localSheetId="19" hidden="1">30</definedName>
    <definedName name="solver_mni" localSheetId="21" hidden="1">30</definedName>
    <definedName name="solver_mni" localSheetId="23" hidden="1">30</definedName>
    <definedName name="solver_mni" localSheetId="25" hidden="1">30</definedName>
    <definedName name="solver_mni" localSheetId="26" hidden="1">30</definedName>
    <definedName name="solver_mni" localSheetId="28" hidden="1">30</definedName>
    <definedName name="solver_mni" localSheetId="29" hidden="1">30</definedName>
    <definedName name="solver_mni" localSheetId="2" hidden="1">30</definedName>
    <definedName name="solver_mni" localSheetId="4" hidden="1">30</definedName>
    <definedName name="solver_mni" localSheetId="6" hidden="1">30</definedName>
    <definedName name="solver_mni" localSheetId="8" hidden="1">30</definedName>
    <definedName name="solver_mni" localSheetId="10" hidden="1">30</definedName>
    <definedName name="solver_mni" localSheetId="11" hidden="1">30</definedName>
    <definedName name="solver_mni" localSheetId="13" hidden="1">30</definedName>
    <definedName name="solver_mni" localSheetId="15" hidden="1">30</definedName>
    <definedName name="solver_mrt" localSheetId="0" hidden="1">0.075</definedName>
    <definedName name="solver_mrt" localSheetId="17" hidden="1">0.075</definedName>
    <definedName name="solver_mrt" localSheetId="19" hidden="1">0.075</definedName>
    <definedName name="solver_mrt" localSheetId="21" hidden="1">0.075</definedName>
    <definedName name="solver_mrt" localSheetId="23" hidden="1">0.075</definedName>
    <definedName name="solver_mrt" localSheetId="25" hidden="1">0.075</definedName>
    <definedName name="solver_mrt" localSheetId="26" hidden="1">0.075</definedName>
    <definedName name="solver_mrt" localSheetId="28" hidden="1">0.075</definedName>
    <definedName name="solver_mrt" localSheetId="29" hidden="1">0.075</definedName>
    <definedName name="solver_mrt" localSheetId="2" hidden="1">0.075</definedName>
    <definedName name="solver_mrt" localSheetId="4" hidden="1">0.075</definedName>
    <definedName name="solver_mrt" localSheetId="6" hidden="1">0.075</definedName>
    <definedName name="solver_mrt" localSheetId="8" hidden="1">0.075</definedName>
    <definedName name="solver_mrt" localSheetId="10" hidden="1">0.075</definedName>
    <definedName name="solver_mrt" localSheetId="11" hidden="1">0.075</definedName>
    <definedName name="solver_mrt" localSheetId="13" hidden="1">0.075</definedName>
    <definedName name="solver_mrt" localSheetId="15" hidden="1">0.075</definedName>
    <definedName name="solver_msl" localSheetId="0" hidden="1">2</definedName>
    <definedName name="solver_msl" localSheetId="17" hidden="1">2</definedName>
    <definedName name="solver_msl" localSheetId="19" hidden="1">2</definedName>
    <definedName name="solver_msl" localSheetId="21" hidden="1">2</definedName>
    <definedName name="solver_msl" localSheetId="23" hidden="1">2</definedName>
    <definedName name="solver_msl" localSheetId="25" hidden="1">2</definedName>
    <definedName name="solver_msl" localSheetId="26" hidden="1">2</definedName>
    <definedName name="solver_msl" localSheetId="28" hidden="1">2</definedName>
    <definedName name="solver_msl" localSheetId="29" hidden="1">2</definedName>
    <definedName name="solver_msl" localSheetId="2" hidden="1">2</definedName>
    <definedName name="solver_msl" localSheetId="4" hidden="1">2</definedName>
    <definedName name="solver_msl" localSheetId="6" hidden="1">2</definedName>
    <definedName name="solver_msl" localSheetId="8" hidden="1">2</definedName>
    <definedName name="solver_msl" localSheetId="10" hidden="1">2</definedName>
    <definedName name="solver_msl" localSheetId="11" hidden="1">2</definedName>
    <definedName name="solver_msl" localSheetId="13" hidden="1">2</definedName>
    <definedName name="solver_msl" localSheetId="15" hidden="1">2</definedName>
    <definedName name="solver_neg" localSheetId="0" hidden="1">1</definedName>
    <definedName name="solver_neg" localSheetId="17" hidden="1">1</definedName>
    <definedName name="solver_neg" localSheetId="19" hidden="1">1</definedName>
    <definedName name="solver_neg" localSheetId="21" hidden="1">1</definedName>
    <definedName name="solver_neg" localSheetId="23" hidden="1">1</definedName>
    <definedName name="solver_neg" localSheetId="25" hidden="1">1</definedName>
    <definedName name="solver_neg" localSheetId="26" hidden="1">1</definedName>
    <definedName name="solver_neg" localSheetId="28" hidden="1">1</definedName>
    <definedName name="solver_neg" localSheetId="29" hidden="1">1</definedName>
    <definedName name="solver_neg" localSheetId="2" hidden="1">1</definedName>
    <definedName name="solver_neg" localSheetId="4" hidden="1">1</definedName>
    <definedName name="solver_neg" localSheetId="6" hidden="1">1</definedName>
    <definedName name="solver_neg" localSheetId="8" hidden="1">1</definedName>
    <definedName name="solver_neg" localSheetId="10" hidden="1">1</definedName>
    <definedName name="solver_neg" localSheetId="11" hidden="1">1</definedName>
    <definedName name="solver_neg" localSheetId="13" hidden="1">1</definedName>
    <definedName name="solver_neg" localSheetId="15" hidden="1">1</definedName>
    <definedName name="solver_nod" localSheetId="0" hidden="1">2147483647</definedName>
    <definedName name="solver_nod" localSheetId="17" hidden="1">2147483647</definedName>
    <definedName name="solver_nod" localSheetId="19" hidden="1">2147483647</definedName>
    <definedName name="solver_nod" localSheetId="21" hidden="1">2147483647</definedName>
    <definedName name="solver_nod" localSheetId="23" hidden="1">2147483647</definedName>
    <definedName name="solver_nod" localSheetId="25" hidden="1">2147483647</definedName>
    <definedName name="solver_nod" localSheetId="26" hidden="1">2147483647</definedName>
    <definedName name="solver_nod" localSheetId="28" hidden="1">2147483647</definedName>
    <definedName name="solver_nod" localSheetId="29" hidden="1">2147483647</definedName>
    <definedName name="solver_nod" localSheetId="2" hidden="1">2147483647</definedName>
    <definedName name="solver_nod" localSheetId="4" hidden="1">2147483647</definedName>
    <definedName name="solver_nod" localSheetId="6" hidden="1">2147483647</definedName>
    <definedName name="solver_nod" localSheetId="8" hidden="1">2147483647</definedName>
    <definedName name="solver_nod" localSheetId="10" hidden="1">2147483647</definedName>
    <definedName name="solver_nod" localSheetId="11" hidden="1">2147483647</definedName>
    <definedName name="solver_nod" localSheetId="13" hidden="1">2147483647</definedName>
    <definedName name="solver_nod" localSheetId="15" hidden="1">2147483647</definedName>
    <definedName name="solver_num" localSheetId="0" hidden="1">5</definedName>
    <definedName name="solver_num" localSheetId="17" hidden="1">7</definedName>
    <definedName name="solver_num" localSheetId="19" hidden="1">7</definedName>
    <definedName name="solver_num" localSheetId="21" hidden="1">7</definedName>
    <definedName name="solver_num" localSheetId="23" hidden="1">7</definedName>
    <definedName name="solver_num" localSheetId="25" hidden="1">7</definedName>
    <definedName name="solver_num" localSheetId="26" hidden="1">12</definedName>
    <definedName name="solver_num" localSheetId="28" hidden="1">11</definedName>
    <definedName name="solver_num" localSheetId="29" hidden="1">11</definedName>
    <definedName name="solver_num" localSheetId="2" hidden="1">6</definedName>
    <definedName name="solver_num" localSheetId="4" hidden="1">4</definedName>
    <definedName name="solver_num" localSheetId="6" hidden="1">6</definedName>
    <definedName name="solver_num" localSheetId="8" hidden="1">6</definedName>
    <definedName name="solver_num" localSheetId="10" hidden="1">6</definedName>
    <definedName name="solver_num" localSheetId="11" hidden="1">7</definedName>
    <definedName name="solver_num" localSheetId="13" hidden="1">4</definedName>
    <definedName name="solver_num" localSheetId="15" hidden="1">6</definedName>
    <definedName name="solver_nwt" localSheetId="0" hidden="1">1</definedName>
    <definedName name="solver_nwt" localSheetId="17" hidden="1">1</definedName>
    <definedName name="solver_nwt" localSheetId="19" hidden="1">1</definedName>
    <definedName name="solver_nwt" localSheetId="21" hidden="1">1</definedName>
    <definedName name="solver_nwt" localSheetId="23" hidden="1">1</definedName>
    <definedName name="solver_nwt" localSheetId="25" hidden="1">1</definedName>
    <definedName name="solver_nwt" localSheetId="26" hidden="1">1</definedName>
    <definedName name="solver_nwt" localSheetId="28" hidden="1">1</definedName>
    <definedName name="solver_nwt" localSheetId="29" hidden="1">1</definedName>
    <definedName name="solver_nwt" localSheetId="2" hidden="1">1</definedName>
    <definedName name="solver_nwt" localSheetId="4" hidden="1">1</definedName>
    <definedName name="solver_nwt" localSheetId="6" hidden="1">1</definedName>
    <definedName name="solver_nwt" localSheetId="8" hidden="1">1</definedName>
    <definedName name="solver_nwt" localSheetId="10" hidden="1">1</definedName>
    <definedName name="solver_nwt" localSheetId="11" hidden="1">1</definedName>
    <definedName name="solver_nwt" localSheetId="13" hidden="1">1</definedName>
    <definedName name="solver_nwt" localSheetId="15" hidden="1">1</definedName>
    <definedName name="solver_opt" localSheetId="0" hidden="1">'#1 SSG optimisation binary'!$L$9</definedName>
    <definedName name="solver_opt" localSheetId="17" hidden="1">'#10 SSG Mode optimisation'!$M$10</definedName>
    <definedName name="solver_opt" localSheetId="19" hidden="1">'#11 SSG Mode optimisation'!$M$10</definedName>
    <definedName name="solver_opt" localSheetId="21" hidden="1">'#12 SSG Mode optimisation'!$M$10</definedName>
    <definedName name="solver_opt" localSheetId="23" hidden="1">'#13 SSG Mode Neg Price'!$M$10</definedName>
    <definedName name="solver_opt" localSheetId="25" hidden="1">'#14 SSG System Configuration'!$M$11</definedName>
    <definedName name="solver_opt" localSheetId="26" hidden="1">'#15 Wind const + non linear'!$M$12</definedName>
    <definedName name="solver_opt" localSheetId="28" hidden="1">'#16 Pricing NL + SOS fixed'!$M$12</definedName>
    <definedName name="solver_opt" localSheetId="29" hidden="1">'#17 Pricing NL + rounded up'!$M$12</definedName>
    <definedName name="solver_opt" localSheetId="2" hidden="1">'#2 SSG optimisation'!$L$9</definedName>
    <definedName name="solver_opt" localSheetId="4" hidden="1">'#3 SSG pricing from binary opt'!$L$9</definedName>
    <definedName name="solver_opt" localSheetId="6" hidden="1">'#4 SSG optimisation 2 SSGs'!$L$9</definedName>
    <definedName name="solver_opt" localSheetId="8" hidden="1">'#5 SSG optimisation 2 SSGs'!$L$9</definedName>
    <definedName name="solver_opt" localSheetId="10" hidden="1">'#6 SSG optimisation partial'!$L$9</definedName>
    <definedName name="solver_opt" localSheetId="11" hidden="1">'#7 SSG optimisation #6 binary'!$L$9</definedName>
    <definedName name="solver_opt" localSheetId="13" hidden="1">'#8 SSG optimisation SSGs fixed'!$L$9</definedName>
    <definedName name="solver_opt" localSheetId="15" hidden="1">'#9 SSG and Synch Con'!$M$10</definedName>
    <definedName name="solver_pre" localSheetId="0" hidden="1">0.000001</definedName>
    <definedName name="solver_pre" localSheetId="17" hidden="1">0.000001</definedName>
    <definedName name="solver_pre" localSheetId="19" hidden="1">0.000001</definedName>
    <definedName name="solver_pre" localSheetId="21" hidden="1">0.000001</definedName>
    <definedName name="solver_pre" localSheetId="23" hidden="1">0.000001</definedName>
    <definedName name="solver_pre" localSheetId="25" hidden="1">0.000001</definedName>
    <definedName name="solver_pre" localSheetId="26" hidden="1">0.000001</definedName>
    <definedName name="solver_pre" localSheetId="28" hidden="1">0.000001</definedName>
    <definedName name="solver_pre" localSheetId="29" hidden="1">0.000001</definedName>
    <definedName name="solver_pre" localSheetId="2" hidden="1">0.000001</definedName>
    <definedName name="solver_pre" localSheetId="4" hidden="1">0.000001</definedName>
    <definedName name="solver_pre" localSheetId="6" hidden="1">0.000001</definedName>
    <definedName name="solver_pre" localSheetId="8" hidden="1">0.000001</definedName>
    <definedName name="solver_pre" localSheetId="10" hidden="1">0.000001</definedName>
    <definedName name="solver_pre" localSheetId="11" hidden="1">0.000001</definedName>
    <definedName name="solver_pre" localSheetId="13" hidden="1">0.000001</definedName>
    <definedName name="solver_pre" localSheetId="15" hidden="1">0.000001</definedName>
    <definedName name="solver_rbv" localSheetId="0" hidden="1">2</definedName>
    <definedName name="solver_rbv" localSheetId="17" hidden="1">2</definedName>
    <definedName name="solver_rbv" localSheetId="19" hidden="1">2</definedName>
    <definedName name="solver_rbv" localSheetId="21" hidden="1">2</definedName>
    <definedName name="solver_rbv" localSheetId="23" hidden="1">2</definedName>
    <definedName name="solver_rbv" localSheetId="25" hidden="1">2</definedName>
    <definedName name="solver_rbv" localSheetId="26" hidden="1">2</definedName>
    <definedName name="solver_rbv" localSheetId="28" hidden="1">2</definedName>
    <definedName name="solver_rbv" localSheetId="29" hidden="1">2</definedName>
    <definedName name="solver_rbv" localSheetId="2" hidden="1">2</definedName>
    <definedName name="solver_rbv" localSheetId="4" hidden="1">1</definedName>
    <definedName name="solver_rbv" localSheetId="6" hidden="1">2</definedName>
    <definedName name="solver_rbv" localSheetId="8" hidden="1">2</definedName>
    <definedName name="solver_rbv" localSheetId="10" hidden="1">2</definedName>
    <definedName name="solver_rbv" localSheetId="11" hidden="1">2</definedName>
    <definedName name="solver_rbv" localSheetId="13" hidden="1">2</definedName>
    <definedName name="solver_rbv" localSheetId="15" hidden="1">2</definedName>
    <definedName name="solver_rel1" localSheetId="0" hidden="1">1</definedName>
    <definedName name="solver_rel1" localSheetId="17" hidden="1">1</definedName>
    <definedName name="solver_rel1" localSheetId="19" hidden="1">1</definedName>
    <definedName name="solver_rel1" localSheetId="21" hidden="1">2</definedName>
    <definedName name="solver_rel1" localSheetId="23" hidden="1">1</definedName>
    <definedName name="solver_rel1" localSheetId="25" hidden="1">2</definedName>
    <definedName name="solver_rel1" localSheetId="26" hidden="1">1</definedName>
    <definedName name="solver_rel1" localSheetId="28" hidden="1">1</definedName>
    <definedName name="solver_rel1" localSheetId="29" hidden="1">2</definedName>
    <definedName name="solver_rel1" localSheetId="2" hidden="1">1</definedName>
    <definedName name="solver_rel1" localSheetId="4" hidden="1">1</definedName>
    <definedName name="solver_rel1" localSheetId="6" hidden="1">1</definedName>
    <definedName name="solver_rel1" localSheetId="8" hidden="1">1</definedName>
    <definedName name="solver_rel1" localSheetId="10" hidden="1">1</definedName>
    <definedName name="solver_rel1" localSheetId="11" hidden="1">1</definedName>
    <definedName name="solver_rel1" localSheetId="13" hidden="1">1</definedName>
    <definedName name="solver_rel1" localSheetId="15" hidden="1">2</definedName>
    <definedName name="solver_rel10" localSheetId="26" hidden="1">1</definedName>
    <definedName name="solver_rel10" localSheetId="28" hidden="1">2</definedName>
    <definedName name="solver_rel10" localSheetId="29" hidden="1">3</definedName>
    <definedName name="solver_rel11" localSheetId="26" hidden="1">3</definedName>
    <definedName name="solver_rel11" localSheetId="28" hidden="1">3</definedName>
    <definedName name="solver_rel11" localSheetId="29" hidden="1">3</definedName>
    <definedName name="solver_rel12" localSheetId="26" hidden="1">2</definedName>
    <definedName name="solver_rel12" localSheetId="28" hidden="1">2</definedName>
    <definedName name="solver_rel12" localSheetId="29" hidden="1">2</definedName>
    <definedName name="solver_rel2" localSheetId="0" hidden="1">5</definedName>
    <definedName name="solver_rel2" localSheetId="17" hidden="1">3</definedName>
    <definedName name="solver_rel2" localSheetId="19" hidden="1">2</definedName>
    <definedName name="solver_rel2" localSheetId="21" hidden="1">1</definedName>
    <definedName name="solver_rel2" localSheetId="23" hidden="1">1</definedName>
    <definedName name="solver_rel2" localSheetId="25" hidden="1">1</definedName>
    <definedName name="solver_rel2" localSheetId="26" hidden="1">1</definedName>
    <definedName name="solver_rel2" localSheetId="28" hidden="1">1</definedName>
    <definedName name="solver_rel2" localSheetId="29" hidden="1">3</definedName>
    <definedName name="solver_rel2" localSheetId="2" hidden="1">1</definedName>
    <definedName name="solver_rel2" localSheetId="4" hidden="1">1</definedName>
    <definedName name="solver_rel2" localSheetId="6" hidden="1">1</definedName>
    <definedName name="solver_rel2" localSheetId="8" hidden="1">1</definedName>
    <definedName name="solver_rel2" localSheetId="10" hidden="1">1</definedName>
    <definedName name="solver_rel2" localSheetId="11" hidden="1">1</definedName>
    <definedName name="solver_rel2" localSheetId="13" hidden="1">1</definedName>
    <definedName name="solver_rel2" localSheetId="15" hidden="1">1</definedName>
    <definedName name="solver_rel3" localSheetId="0" hidden="1">1</definedName>
    <definedName name="solver_rel3" localSheetId="17" hidden="1">3</definedName>
    <definedName name="solver_rel3" localSheetId="19" hidden="1">1</definedName>
    <definedName name="solver_rel3" localSheetId="21" hidden="1">1</definedName>
    <definedName name="solver_rel3" localSheetId="23" hidden="1">1</definedName>
    <definedName name="solver_rel3" localSheetId="25" hidden="1">1</definedName>
    <definedName name="solver_rel3" localSheetId="26" hidden="1">1</definedName>
    <definedName name="solver_rel3" localSheetId="28" hidden="1">2</definedName>
    <definedName name="solver_rel3" localSheetId="29" hidden="1">1</definedName>
    <definedName name="solver_rel3" localSheetId="2" hidden="1">3</definedName>
    <definedName name="solver_rel3" localSheetId="4" hidden="1">3</definedName>
    <definedName name="solver_rel3" localSheetId="6" hidden="1">3</definedName>
    <definedName name="solver_rel3" localSheetId="8" hidden="1">3</definedName>
    <definedName name="solver_rel3" localSheetId="10" hidden="1">3</definedName>
    <definedName name="solver_rel3" localSheetId="11" hidden="1">5</definedName>
    <definedName name="solver_rel3" localSheetId="13" hidden="1">3</definedName>
    <definedName name="solver_rel3" localSheetId="15" hidden="1">1</definedName>
    <definedName name="solver_rel4" localSheetId="0" hidden="1">3</definedName>
    <definedName name="solver_rel4" localSheetId="17" hidden="1">1</definedName>
    <definedName name="solver_rel4" localSheetId="19" hidden="1">1</definedName>
    <definedName name="solver_rel4" localSheetId="21" hidden="1">3</definedName>
    <definedName name="solver_rel4" localSheetId="23" hidden="1">1</definedName>
    <definedName name="solver_rel4" localSheetId="25" hidden="1">3</definedName>
    <definedName name="solver_rel4" localSheetId="26" hidden="1">2</definedName>
    <definedName name="solver_rel4" localSheetId="28" hidden="1">3</definedName>
    <definedName name="solver_rel4" localSheetId="29" hidden="1">1</definedName>
    <definedName name="solver_rel4" localSheetId="2" hidden="1">1</definedName>
    <definedName name="solver_rel4" localSheetId="4" hidden="1">2</definedName>
    <definedName name="solver_rel4" localSheetId="6" hidden="1">1</definedName>
    <definedName name="solver_rel4" localSheetId="8" hidden="1">1</definedName>
    <definedName name="solver_rel4" localSheetId="10" hidden="1">1</definedName>
    <definedName name="solver_rel4" localSheetId="11" hidden="1">3</definedName>
    <definedName name="solver_rel4" localSheetId="13" hidden="1">2</definedName>
    <definedName name="solver_rel4" localSheetId="15" hidden="1">3</definedName>
    <definedName name="solver_rel5" localSheetId="0" hidden="1">2</definedName>
    <definedName name="solver_rel5" localSheetId="17" hidden="1">1</definedName>
    <definedName name="solver_rel5" localSheetId="19" hidden="1">1</definedName>
    <definedName name="solver_rel5" localSheetId="21" hidden="1">1</definedName>
    <definedName name="solver_rel5" localSheetId="23" hidden="1">3</definedName>
    <definedName name="solver_rel5" localSheetId="25" hidden="1">3</definedName>
    <definedName name="solver_rel5" localSheetId="26" hidden="1">3</definedName>
    <definedName name="solver_rel5" localSheetId="28" hidden="1">1</definedName>
    <definedName name="solver_rel5" localSheetId="29" hidden="1">2</definedName>
    <definedName name="solver_rel5" localSheetId="2" hidden="1">3</definedName>
    <definedName name="solver_rel5" localSheetId="6" hidden="1">3</definedName>
    <definedName name="solver_rel5" localSheetId="8" hidden="1">3</definedName>
    <definedName name="solver_rel5" localSheetId="10" hidden="1">3</definedName>
    <definedName name="solver_rel5" localSheetId="11" hidden="1">1</definedName>
    <definedName name="solver_rel5" localSheetId="13" hidden="1">2</definedName>
    <definedName name="solver_rel5" localSheetId="15" hidden="1">1</definedName>
    <definedName name="solver_rel6" localSheetId="17" hidden="1">2</definedName>
    <definedName name="solver_rel6" localSheetId="19" hidden="1">3</definedName>
    <definedName name="solver_rel6" localSheetId="21" hidden="1">1</definedName>
    <definedName name="solver_rel6" localSheetId="23" hidden="1">3</definedName>
    <definedName name="solver_rel6" localSheetId="25" hidden="1">3</definedName>
    <definedName name="solver_rel6" localSheetId="26" hidden="1">3</definedName>
    <definedName name="solver_rel6" localSheetId="28" hidden="1">3</definedName>
    <definedName name="solver_rel6" localSheetId="29" hidden="1">3</definedName>
    <definedName name="solver_rel6" localSheetId="2" hidden="1">2</definedName>
    <definedName name="solver_rel6" localSheetId="6" hidden="1">2</definedName>
    <definedName name="solver_rel6" localSheetId="8" hidden="1">2</definedName>
    <definedName name="solver_rel6" localSheetId="10" hidden="1">2</definedName>
    <definedName name="solver_rel6" localSheetId="11" hidden="1">3</definedName>
    <definedName name="solver_rel6" localSheetId="13" hidden="1">2</definedName>
    <definedName name="solver_rel6" localSheetId="15" hidden="1">3</definedName>
    <definedName name="solver_rel7" localSheetId="17" hidden="1">1</definedName>
    <definedName name="solver_rel7" localSheetId="19" hidden="1">3</definedName>
    <definedName name="solver_rel7" localSheetId="21" hidden="1">3</definedName>
    <definedName name="solver_rel7" localSheetId="23" hidden="1">2</definedName>
    <definedName name="solver_rel7" localSheetId="25" hidden="1">1</definedName>
    <definedName name="solver_rel7" localSheetId="26" hidden="1">3</definedName>
    <definedName name="solver_rel7" localSheetId="28" hidden="1">3</definedName>
    <definedName name="solver_rel7" localSheetId="29" hidden="1">1</definedName>
    <definedName name="solver_rel7" localSheetId="6" hidden="1">2</definedName>
    <definedName name="solver_rel7" localSheetId="8" hidden="1">2</definedName>
    <definedName name="solver_rel7" localSheetId="10" hidden="1">2</definedName>
    <definedName name="solver_rel7" localSheetId="11" hidden="1">2</definedName>
    <definedName name="solver_rel7" localSheetId="13" hidden="1">2</definedName>
    <definedName name="solver_rel7" localSheetId="15" hidden="1">2</definedName>
    <definedName name="solver_rel8" localSheetId="25" hidden="1">3</definedName>
    <definedName name="solver_rel8" localSheetId="26" hidden="1">1</definedName>
    <definedName name="solver_rel8" localSheetId="28" hidden="1">1</definedName>
    <definedName name="solver_rel8" localSheetId="29" hidden="1">1</definedName>
    <definedName name="solver_rel9" localSheetId="26" hidden="1">5</definedName>
    <definedName name="solver_rel9" localSheetId="28" hidden="1">1</definedName>
    <definedName name="solver_rel9" localSheetId="29" hidden="1">1</definedName>
    <definedName name="solver_rhs1" localSheetId="0" hidden="1">'#1 SSG optimisation binary'!$F$12</definedName>
    <definedName name="solver_rhs1" localSheetId="17" hidden="1">'#10 SSG Mode optimisation'!$F$13</definedName>
    <definedName name="solver_rhs1" localSheetId="19" hidden="1">'#11 SSG Mode optimisation'!$F$13</definedName>
    <definedName name="solver_rhs1" localSheetId="21" hidden="1">'#12 SSG Mode optimisation'!$C$3</definedName>
    <definedName name="solver_rhs1" localSheetId="23" hidden="1">'#13 SSG Mode Neg Price'!$F$13</definedName>
    <definedName name="solver_rhs1" localSheetId="25" hidden="1">'#14 SSG System Configuration'!$C$3</definedName>
    <definedName name="solver_rhs1" localSheetId="26" hidden="1">1</definedName>
    <definedName name="solver_rhs1" localSheetId="28" hidden="1">1</definedName>
    <definedName name="solver_rhs1" localSheetId="29" hidden="1">'#17 Pricing NL + rounded up'!$G$12</definedName>
    <definedName name="solver_rhs1" localSheetId="2" hidden="1">'#2 SSG optimisation'!$F$12</definedName>
    <definedName name="solver_rhs1" localSheetId="4" hidden="1">'#3 SSG pricing from binary opt'!$F$12</definedName>
    <definedName name="solver_rhs1" localSheetId="6" hidden="1">'#4 SSG optimisation 2 SSGs'!$F$12</definedName>
    <definedName name="solver_rhs1" localSheetId="8" hidden="1">'#5 SSG optimisation 2 SSGs'!$F$12</definedName>
    <definedName name="solver_rhs1" localSheetId="10" hidden="1">'#6 SSG optimisation partial'!$F$12</definedName>
    <definedName name="solver_rhs1" localSheetId="11" hidden="1">'#7 SSG optimisation #6 binary'!$F$12</definedName>
    <definedName name="solver_rhs1" localSheetId="13" hidden="1">'#8 SSG optimisation SSGs fixed'!$F$12</definedName>
    <definedName name="solver_rhs1" localSheetId="15" hidden="1">'#9 SSG and Synch Con'!$C$3</definedName>
    <definedName name="solver_rhs10" localSheetId="26" hidden="1">'#15 Wind const + non linear'!$P$16:$P$19</definedName>
    <definedName name="solver_rhs10" localSheetId="28" hidden="1">'#16 Pricing NL + SOS fixed'!$G$12</definedName>
    <definedName name="solver_rhs10" localSheetId="29" hidden="1">0</definedName>
    <definedName name="solver_rhs11" localSheetId="26" hidden="1">'#15 Wind const + non linear'!$O$16:$O$19</definedName>
    <definedName name="solver_rhs11" localSheetId="28" hidden="1">'#16 Pricing NL + SOS fixed'!$O$16:$O$19</definedName>
    <definedName name="solver_rhs11" localSheetId="29" hidden="1">'#17 Pricing NL + rounded up'!$H$21</definedName>
    <definedName name="solver_rhs12" localSheetId="26" hidden="1">'#15 Wind const + non linear'!$G$12</definedName>
    <definedName name="solver_rhs12" localSheetId="28" hidden="1">'#16 Pricing NL + SOS fixed'!$G$12</definedName>
    <definedName name="solver_rhs12" localSheetId="29" hidden="1">'#17 Pricing NL + rounded up'!$G$12</definedName>
    <definedName name="solver_rhs2" localSheetId="0" hidden="1">"binary"</definedName>
    <definedName name="solver_rhs2" localSheetId="17" hidden="1">0</definedName>
    <definedName name="solver_rhs2" localSheetId="19" hidden="1">'#11 SSG Mode optimisation'!$C$3</definedName>
    <definedName name="solver_rhs2" localSheetId="21" hidden="1">'#12 SSG Mode optimisation'!$F$13</definedName>
    <definedName name="solver_rhs2" localSheetId="23" hidden="1">1</definedName>
    <definedName name="solver_rhs2" localSheetId="25" hidden="1">1</definedName>
    <definedName name="solver_rhs2" localSheetId="26" hidden="1">1</definedName>
    <definedName name="solver_rhs2" localSheetId="28" hidden="1">'#16 Pricing NL + SOS fixed'!$J$6:$J$11</definedName>
    <definedName name="solver_rhs2" localSheetId="29" hidden="1">'#17 Pricing NL + rounded up'!$O$16:$O$19</definedName>
    <definedName name="solver_rhs2" localSheetId="2" hidden="1">1</definedName>
    <definedName name="solver_rhs2" localSheetId="4" hidden="1">'#3 SSG pricing from binary opt'!$J$6:$J$8</definedName>
    <definedName name="solver_rhs2" localSheetId="6" hidden="1">1</definedName>
    <definedName name="solver_rhs2" localSheetId="8" hidden="1">1</definedName>
    <definedName name="solver_rhs2" localSheetId="10" hidden="1">1</definedName>
    <definedName name="solver_rhs2" localSheetId="11" hidden="1">1</definedName>
    <definedName name="solver_rhs2" localSheetId="13" hidden="1">'#8 SSG optimisation SSGs fixed'!$J$6:$J$8</definedName>
    <definedName name="solver_rhs2" localSheetId="15" hidden="1">'#9 SSG and Synch Con'!$F$13</definedName>
    <definedName name="solver_rhs3" localSheetId="0" hidden="1">'#1 SSG optimisation binary'!$J$6:$J$8</definedName>
    <definedName name="solver_rhs3" localSheetId="17" hidden="1">'#10 SSG Mode optimisation'!$I$6:$I$9</definedName>
    <definedName name="solver_rhs3" localSheetId="19" hidden="1">1</definedName>
    <definedName name="solver_rhs3" localSheetId="21" hidden="1">1</definedName>
    <definedName name="solver_rhs3" localSheetId="23" hidden="1">'#13 SSG Mode Neg Price'!$J$6:$J$9</definedName>
    <definedName name="solver_rhs3" localSheetId="25" hidden="1">1</definedName>
    <definedName name="solver_rhs3" localSheetId="26" hidden="1">'#15 Wind const + non linear'!$J$6:$J$11</definedName>
    <definedName name="solver_rhs3" localSheetId="28" hidden="1">'#16 Pricing NL + SOS fixed'!$C$3</definedName>
    <definedName name="solver_rhs3" localSheetId="29" hidden="1">'#17 Pricing NL + rounded up'!$P$16:$P$19</definedName>
    <definedName name="solver_rhs3" localSheetId="2" hidden="1">0</definedName>
    <definedName name="solver_rhs3" localSheetId="4" hidden="1">'#3 SSG pricing from binary opt'!$I$6:$I$8</definedName>
    <definedName name="solver_rhs3" localSheetId="6" hidden="1">0</definedName>
    <definedName name="solver_rhs3" localSheetId="8" hidden="1">0</definedName>
    <definedName name="solver_rhs3" localSheetId="10" hidden="1">0</definedName>
    <definedName name="solver_rhs3" localSheetId="11" hidden="1">"binary"</definedName>
    <definedName name="solver_rhs3" localSheetId="13" hidden="1">'#8 SSG optimisation SSGs fixed'!$I$6:$I$8</definedName>
    <definedName name="solver_rhs3" localSheetId="15" hidden="1">1</definedName>
    <definedName name="solver_rhs4" localSheetId="0" hidden="1">'#1 SSG optimisation binary'!$I$6:$I$8</definedName>
    <definedName name="solver_rhs4" localSheetId="17" hidden="1">'#10 SSG Mode optimisation'!$J$6:$J$9</definedName>
    <definedName name="solver_rhs4" localSheetId="19" hidden="1">1</definedName>
    <definedName name="solver_rhs4" localSheetId="21" hidden="1">0</definedName>
    <definedName name="solver_rhs4" localSheetId="23" hidden="1">1</definedName>
    <definedName name="solver_rhs4" localSheetId="25" hidden="1">'#14 SSG System Configuration'!$I$6:$I$10</definedName>
    <definedName name="solver_rhs4" localSheetId="26" hidden="1">'#15 Wind const + non linear'!$C$3</definedName>
    <definedName name="solver_rhs4" localSheetId="28" hidden="1">'#16 Pricing NL + SOS fixed'!$I$6:$I$11</definedName>
    <definedName name="solver_rhs4" localSheetId="29" hidden="1">'#17 Pricing NL + rounded up'!$F$15</definedName>
    <definedName name="solver_rhs4" localSheetId="2" hidden="1">'#2 SSG optimisation'!$J$6:$J$8</definedName>
    <definedName name="solver_rhs4" localSheetId="4" hidden="1">'#3 SSG pricing from binary opt'!$C$3</definedName>
    <definedName name="solver_rhs4" localSheetId="6" hidden="1">'#4 SSG optimisation 2 SSGs'!$J$6:$J$8</definedName>
    <definedName name="solver_rhs4" localSheetId="8" hidden="1">'#5 SSG optimisation 2 SSGs'!$J$6:$J$8</definedName>
    <definedName name="solver_rhs4" localSheetId="10" hidden="1">'#6 SSG optimisation partial'!$J$6:$J$8</definedName>
    <definedName name="solver_rhs4" localSheetId="11" hidden="1">0</definedName>
    <definedName name="solver_rhs4" localSheetId="13" hidden="1">'#8 SSG optimisation SSGs fixed'!$C$3</definedName>
    <definedName name="solver_rhs4" localSheetId="15" hidden="1">0</definedName>
    <definedName name="solver_rhs5" localSheetId="0" hidden="1">'#1 SSG optimisation binary'!$C$3</definedName>
    <definedName name="solver_rhs5" localSheetId="17" hidden="1">1</definedName>
    <definedName name="solver_rhs5" localSheetId="19" hidden="1">'#11 SSG Mode optimisation'!$J$6:$J$9</definedName>
    <definedName name="solver_rhs5" localSheetId="21" hidden="1">'#12 SSG Mode optimisation'!$J$6:$J$9</definedName>
    <definedName name="solver_rhs5" localSheetId="23" hidden="1">'#13 SSG Mode Neg Price'!$I$6:$I$9</definedName>
    <definedName name="solver_rhs5" localSheetId="25" hidden="1">0</definedName>
    <definedName name="solver_rhs5" localSheetId="26" hidden="1">'#15 Wind const + non linear'!$I$6:$I$11</definedName>
    <definedName name="solver_rhs5" localSheetId="28" hidden="1">1</definedName>
    <definedName name="solver_rhs5" localSheetId="29" hidden="1">'#17 Pricing NL + rounded up'!$C$3</definedName>
    <definedName name="solver_rhs5" localSheetId="2" hidden="1">'#2 SSG optimisation'!$I$6:$I$8</definedName>
    <definedName name="solver_rhs5" localSheetId="6" hidden="1">'#4 SSG optimisation 2 SSGs'!$I$6:$I$8</definedName>
    <definedName name="solver_rhs5" localSheetId="8" hidden="1">'#5 SSG optimisation 2 SSGs'!$I$6:$I$8</definedName>
    <definedName name="solver_rhs5" localSheetId="10" hidden="1">'#6 SSG optimisation partial'!$I$6:$I$8</definedName>
    <definedName name="solver_rhs5" localSheetId="11" hidden="1">'#7 SSG optimisation #6 binary'!$J$6:$J$8</definedName>
    <definedName name="solver_rhs5" localSheetId="13" hidden="1">'#8 SSG optimisation SSGs fixed'!$C$3</definedName>
    <definedName name="solver_rhs5" localSheetId="15" hidden="1">'#9 SSG and Synch Con'!$J$6:$J$9</definedName>
    <definedName name="solver_rhs6" localSheetId="17" hidden="1">'#10 SSG Mode optimisation'!$C$3</definedName>
    <definedName name="solver_rhs6" localSheetId="19" hidden="1">0</definedName>
    <definedName name="solver_rhs6" localSheetId="21" hidden="1">1</definedName>
    <definedName name="solver_rhs6" localSheetId="23" hidden="1">0</definedName>
    <definedName name="solver_rhs6" localSheetId="25" hidden="1">'#14 SSG System Configuration'!$H$14</definedName>
    <definedName name="solver_rhs6" localSheetId="26" hidden="1">0</definedName>
    <definedName name="solver_rhs6" localSheetId="28" hidden="1">0</definedName>
    <definedName name="solver_rhs6" localSheetId="29" hidden="1">'#17 Pricing NL + rounded up'!$I$6:$I$11</definedName>
    <definedName name="solver_rhs6" localSheetId="2" hidden="1">'#2 SSG optimisation'!$C$3</definedName>
    <definedName name="solver_rhs6" localSheetId="6" hidden="1">'#4 SSG optimisation 2 SSGs'!$C$3</definedName>
    <definedName name="solver_rhs6" localSheetId="8" hidden="1">'#5 SSG optimisation 2 SSGs'!$C$3</definedName>
    <definedName name="solver_rhs6" localSheetId="10" hidden="1">'#6 SSG optimisation partial'!$C$3</definedName>
    <definedName name="solver_rhs6" localSheetId="11" hidden="1">'#7 SSG optimisation #6 binary'!$I$6:$I$8</definedName>
    <definedName name="solver_rhs6" localSheetId="13" hidden="1">'#8 SSG optimisation SSGs fixed'!$C$3</definedName>
    <definedName name="solver_rhs6" localSheetId="15" hidden="1">'#9 SSG and Synch Con'!$I$6:$I$9</definedName>
    <definedName name="solver_rhs7" localSheetId="17" hidden="1">1</definedName>
    <definedName name="solver_rhs7" localSheetId="19" hidden="1">'#11 SSG Mode optimisation'!$I$6:$I$9</definedName>
    <definedName name="solver_rhs7" localSheetId="21" hidden="1">'#12 SSG Mode optimisation'!$I$6:$I$9</definedName>
    <definedName name="solver_rhs7" localSheetId="23" hidden="1">'#13 SSG Mode Neg Price'!$C$3</definedName>
    <definedName name="solver_rhs7" localSheetId="25" hidden="1">'#14 SSG System Configuration'!$J$6:$J$10</definedName>
    <definedName name="solver_rhs7" localSheetId="26" hidden="1">'#15 Wind const + non linear'!$H$21</definedName>
    <definedName name="solver_rhs7" localSheetId="28" hidden="1">'#16 Pricing NL + SOS fixed'!$H$21</definedName>
    <definedName name="solver_rhs7" localSheetId="29" hidden="1">'#17 Pricing NL + rounded up'!$J$6:$J$11</definedName>
    <definedName name="solver_rhs7" localSheetId="6" hidden="1">'#4 SSG optimisation 2 SSGs'!$C$3</definedName>
    <definedName name="solver_rhs7" localSheetId="8" hidden="1">'#5 SSG optimisation 2 SSGs'!$C$3</definedName>
    <definedName name="solver_rhs7" localSheetId="10" hidden="1">'#6 SSG optimisation partial'!$C$3</definedName>
    <definedName name="solver_rhs7" localSheetId="11" hidden="1">'#7 SSG optimisation #6 binary'!$C$3</definedName>
    <definedName name="solver_rhs7" localSheetId="13" hidden="1">'#8 SSG optimisation SSGs fixed'!$C$3</definedName>
    <definedName name="solver_rhs7" localSheetId="15" hidden="1">'#9 SSG and Synch Con'!$C$3</definedName>
    <definedName name="solver_rhs8" localSheetId="25" hidden="1">0</definedName>
    <definedName name="solver_rhs8" localSheetId="26" hidden="1">'#15 Wind const + non linear'!$F$15</definedName>
    <definedName name="solver_rhs8" localSheetId="28" hidden="1">'#16 Pricing NL + SOS fixed'!$F$15</definedName>
    <definedName name="solver_rhs8" localSheetId="29" hidden="1">1</definedName>
    <definedName name="solver_rhs9" localSheetId="26" hidden="1">"binary"</definedName>
    <definedName name="solver_rhs9" localSheetId="28" hidden="1">'#16 Pricing NL + SOS fixed'!$P$16:$P$19</definedName>
    <definedName name="solver_rhs9" localSheetId="29" hidden="1">1</definedName>
    <definedName name="solver_rlx" localSheetId="0" hidden="1">2</definedName>
    <definedName name="solver_rlx" localSheetId="17" hidden="1">2</definedName>
    <definedName name="solver_rlx" localSheetId="19" hidden="1">2</definedName>
    <definedName name="solver_rlx" localSheetId="21" hidden="1">2</definedName>
    <definedName name="solver_rlx" localSheetId="23" hidden="1">2</definedName>
    <definedName name="solver_rlx" localSheetId="25" hidden="1">2</definedName>
    <definedName name="solver_rlx" localSheetId="26" hidden="1">2</definedName>
    <definedName name="solver_rlx" localSheetId="28" hidden="1">2</definedName>
    <definedName name="solver_rlx" localSheetId="29" hidden="1">2</definedName>
    <definedName name="solver_rlx" localSheetId="2" hidden="1">2</definedName>
    <definedName name="solver_rlx" localSheetId="4" hidden="1">2</definedName>
    <definedName name="solver_rlx" localSheetId="6" hidden="1">2</definedName>
    <definedName name="solver_rlx" localSheetId="8" hidden="1">2</definedName>
    <definedName name="solver_rlx" localSheetId="10" hidden="1">2</definedName>
    <definedName name="solver_rlx" localSheetId="11" hidden="1">2</definedName>
    <definedName name="solver_rlx" localSheetId="13" hidden="1">2</definedName>
    <definedName name="solver_rlx" localSheetId="15" hidden="1">2</definedName>
    <definedName name="solver_rsd" localSheetId="0" hidden="1">0</definedName>
    <definedName name="solver_rsd" localSheetId="17" hidden="1">0</definedName>
    <definedName name="solver_rsd" localSheetId="19" hidden="1">0</definedName>
    <definedName name="solver_rsd" localSheetId="21" hidden="1">0</definedName>
    <definedName name="solver_rsd" localSheetId="23" hidden="1">0</definedName>
    <definedName name="solver_rsd" localSheetId="25" hidden="1">0</definedName>
    <definedName name="solver_rsd" localSheetId="26" hidden="1">0</definedName>
    <definedName name="solver_rsd" localSheetId="28" hidden="1">0</definedName>
    <definedName name="solver_rsd" localSheetId="29" hidden="1">0</definedName>
    <definedName name="solver_rsd" localSheetId="2" hidden="1">0</definedName>
    <definedName name="solver_rsd" localSheetId="4" hidden="1">0</definedName>
    <definedName name="solver_rsd" localSheetId="6" hidden="1">0</definedName>
    <definedName name="solver_rsd" localSheetId="8" hidden="1">0</definedName>
    <definedName name="solver_rsd" localSheetId="10" hidden="1">0</definedName>
    <definedName name="solver_rsd" localSheetId="11" hidden="1">0</definedName>
    <definedName name="solver_rsd" localSheetId="13" hidden="1">0</definedName>
    <definedName name="solver_rsd" localSheetId="15" hidden="1">0</definedName>
    <definedName name="solver_scl" localSheetId="0" hidden="1">2</definedName>
    <definedName name="solver_scl" localSheetId="17" hidden="1">2</definedName>
    <definedName name="solver_scl" localSheetId="19" hidden="1">2</definedName>
    <definedName name="solver_scl" localSheetId="21" hidden="1">2</definedName>
    <definedName name="solver_scl" localSheetId="23" hidden="1">2</definedName>
    <definedName name="solver_scl" localSheetId="25" hidden="1">2</definedName>
    <definedName name="solver_scl" localSheetId="26" hidden="1">2</definedName>
    <definedName name="solver_scl" localSheetId="28" hidden="1">2</definedName>
    <definedName name="solver_scl" localSheetId="29" hidden="1">2</definedName>
    <definedName name="solver_scl" localSheetId="2" hidden="1">2</definedName>
    <definedName name="solver_scl" localSheetId="4" hidden="1">1</definedName>
    <definedName name="solver_scl" localSheetId="6" hidden="1">2</definedName>
    <definedName name="solver_scl" localSheetId="8" hidden="1">2</definedName>
    <definedName name="solver_scl" localSheetId="10" hidden="1">2</definedName>
    <definedName name="solver_scl" localSheetId="11" hidden="1">2</definedName>
    <definedName name="solver_scl" localSheetId="13" hidden="1">2</definedName>
    <definedName name="solver_scl" localSheetId="15" hidden="1">2</definedName>
    <definedName name="solver_sho" localSheetId="0" hidden="1">2</definedName>
    <definedName name="solver_sho" localSheetId="17" hidden="1">2</definedName>
    <definedName name="solver_sho" localSheetId="19" hidden="1">2</definedName>
    <definedName name="solver_sho" localSheetId="21" hidden="1">2</definedName>
    <definedName name="solver_sho" localSheetId="23" hidden="1">2</definedName>
    <definedName name="solver_sho" localSheetId="25" hidden="1">2</definedName>
    <definedName name="solver_sho" localSheetId="26" hidden="1">2</definedName>
    <definedName name="solver_sho" localSheetId="28" hidden="1">2</definedName>
    <definedName name="solver_sho" localSheetId="29" hidden="1">2</definedName>
    <definedName name="solver_sho" localSheetId="2" hidden="1">2</definedName>
    <definedName name="solver_sho" localSheetId="4" hidden="1">2</definedName>
    <definedName name="solver_sho" localSheetId="6" hidden="1">2</definedName>
    <definedName name="solver_sho" localSheetId="8" hidden="1">2</definedName>
    <definedName name="solver_sho" localSheetId="10" hidden="1">2</definedName>
    <definedName name="solver_sho" localSheetId="11" hidden="1">2</definedName>
    <definedName name="solver_sho" localSheetId="13" hidden="1">2</definedName>
    <definedName name="solver_sho" localSheetId="15" hidden="1">2</definedName>
    <definedName name="solver_ssz" localSheetId="0" hidden="1">100</definedName>
    <definedName name="solver_ssz" localSheetId="17" hidden="1">100</definedName>
    <definedName name="solver_ssz" localSheetId="19" hidden="1">100</definedName>
    <definedName name="solver_ssz" localSheetId="21" hidden="1">100</definedName>
    <definedName name="solver_ssz" localSheetId="23" hidden="1">100</definedName>
    <definedName name="solver_ssz" localSheetId="25" hidden="1">100</definedName>
    <definedName name="solver_ssz" localSheetId="26" hidden="1">100</definedName>
    <definedName name="solver_ssz" localSheetId="28" hidden="1">100</definedName>
    <definedName name="solver_ssz" localSheetId="29" hidden="1">100</definedName>
    <definedName name="solver_ssz" localSheetId="2" hidden="1">100</definedName>
    <definedName name="solver_ssz" localSheetId="4" hidden="1">100</definedName>
    <definedName name="solver_ssz" localSheetId="6" hidden="1">100</definedName>
    <definedName name="solver_ssz" localSheetId="8" hidden="1">100</definedName>
    <definedName name="solver_ssz" localSheetId="10" hidden="1">100</definedName>
    <definedName name="solver_ssz" localSheetId="11" hidden="1">100</definedName>
    <definedName name="solver_ssz" localSheetId="13" hidden="1">100</definedName>
    <definedName name="solver_ssz" localSheetId="15" hidden="1">100</definedName>
    <definedName name="solver_tim" localSheetId="0" hidden="1">2147483647</definedName>
    <definedName name="solver_tim" localSheetId="17" hidden="1">2147483647</definedName>
    <definedName name="solver_tim" localSheetId="19" hidden="1">2147483647</definedName>
    <definedName name="solver_tim" localSheetId="21" hidden="1">2147483647</definedName>
    <definedName name="solver_tim" localSheetId="23" hidden="1">2147483647</definedName>
    <definedName name="solver_tim" localSheetId="25" hidden="1">2147483647</definedName>
    <definedName name="solver_tim" localSheetId="26" hidden="1">2147483647</definedName>
    <definedName name="solver_tim" localSheetId="28" hidden="1">2147483647</definedName>
    <definedName name="solver_tim" localSheetId="29" hidden="1">2147483647</definedName>
    <definedName name="solver_tim" localSheetId="2" hidden="1">2147483647</definedName>
    <definedName name="solver_tim" localSheetId="4" hidden="1">2147483647</definedName>
    <definedName name="solver_tim" localSheetId="6" hidden="1">2147483647</definedName>
    <definedName name="solver_tim" localSheetId="8" hidden="1">2147483647</definedName>
    <definedName name="solver_tim" localSheetId="10" hidden="1">2147483647</definedName>
    <definedName name="solver_tim" localSheetId="11" hidden="1">2147483647</definedName>
    <definedName name="solver_tim" localSheetId="13" hidden="1">2147483647</definedName>
    <definedName name="solver_tim" localSheetId="15" hidden="1">2147483647</definedName>
    <definedName name="solver_tol" localSheetId="0" hidden="1">0.01</definedName>
    <definedName name="solver_tol" localSheetId="17" hidden="1">0.01</definedName>
    <definedName name="solver_tol" localSheetId="19" hidden="1">0.01</definedName>
    <definedName name="solver_tol" localSheetId="21" hidden="1">0.01</definedName>
    <definedName name="solver_tol" localSheetId="23" hidden="1">0.01</definedName>
    <definedName name="solver_tol" localSheetId="25" hidden="1">0.01</definedName>
    <definedName name="solver_tol" localSheetId="26" hidden="1">0.01</definedName>
    <definedName name="solver_tol" localSheetId="28" hidden="1">0.01</definedName>
    <definedName name="solver_tol" localSheetId="29" hidden="1">0.01</definedName>
    <definedName name="solver_tol" localSheetId="2" hidden="1">0.01</definedName>
    <definedName name="solver_tol" localSheetId="4" hidden="1">0.01</definedName>
    <definedName name="solver_tol" localSheetId="6" hidden="1">0.01</definedName>
    <definedName name="solver_tol" localSheetId="8" hidden="1">0.01</definedName>
    <definedName name="solver_tol" localSheetId="10" hidden="1">0.01</definedName>
    <definedName name="solver_tol" localSheetId="11" hidden="1">0.01</definedName>
    <definedName name="solver_tol" localSheetId="13" hidden="1">0.01</definedName>
    <definedName name="solver_tol" localSheetId="15" hidden="1">0.01</definedName>
    <definedName name="solver_typ" localSheetId="0" hidden="1">2</definedName>
    <definedName name="solver_typ" localSheetId="17" hidden="1">2</definedName>
    <definedName name="solver_typ" localSheetId="19" hidden="1">2</definedName>
    <definedName name="solver_typ" localSheetId="21" hidden="1">2</definedName>
    <definedName name="solver_typ" localSheetId="23" hidden="1">2</definedName>
    <definedName name="solver_typ" localSheetId="25" hidden="1">2</definedName>
    <definedName name="solver_typ" localSheetId="26" hidden="1">2</definedName>
    <definedName name="solver_typ" localSheetId="28" hidden="1">2</definedName>
    <definedName name="solver_typ" localSheetId="29" hidden="1">2</definedName>
    <definedName name="solver_typ" localSheetId="2" hidden="1">2</definedName>
    <definedName name="solver_typ" localSheetId="4" hidden="1">2</definedName>
    <definedName name="solver_typ" localSheetId="6" hidden="1">2</definedName>
    <definedName name="solver_typ" localSheetId="8" hidden="1">2</definedName>
    <definedName name="solver_typ" localSheetId="10" hidden="1">2</definedName>
    <definedName name="solver_typ" localSheetId="11" hidden="1">2</definedName>
    <definedName name="solver_typ" localSheetId="13" hidden="1">2</definedName>
    <definedName name="solver_typ" localSheetId="15" hidden="1">2</definedName>
    <definedName name="solver_val" localSheetId="0" hidden="1">0</definedName>
    <definedName name="solver_val" localSheetId="17" hidden="1">0</definedName>
    <definedName name="solver_val" localSheetId="19" hidden="1">0</definedName>
    <definedName name="solver_val" localSheetId="21" hidden="1">0</definedName>
    <definedName name="solver_val" localSheetId="23" hidden="1">0</definedName>
    <definedName name="solver_val" localSheetId="25" hidden="1">0</definedName>
    <definedName name="solver_val" localSheetId="26" hidden="1">0</definedName>
    <definedName name="solver_val" localSheetId="28" hidden="1">0</definedName>
    <definedName name="solver_val" localSheetId="29" hidden="1">0</definedName>
    <definedName name="solver_val" localSheetId="2" hidden="1">0</definedName>
    <definedName name="solver_val" localSheetId="4" hidden="1">0</definedName>
    <definedName name="solver_val" localSheetId="6" hidden="1">0</definedName>
    <definedName name="solver_val" localSheetId="8" hidden="1">0</definedName>
    <definedName name="solver_val" localSheetId="10" hidden="1">0</definedName>
    <definedName name="solver_val" localSheetId="11" hidden="1">0</definedName>
    <definedName name="solver_val" localSheetId="13" hidden="1">0</definedName>
    <definedName name="solver_val" localSheetId="15" hidden="1">0</definedName>
    <definedName name="solver_ver" localSheetId="0" hidden="1">3</definedName>
    <definedName name="solver_ver" localSheetId="17" hidden="1">3</definedName>
    <definedName name="solver_ver" localSheetId="19" hidden="1">3</definedName>
    <definedName name="solver_ver" localSheetId="21" hidden="1">3</definedName>
    <definedName name="solver_ver" localSheetId="23" hidden="1">3</definedName>
    <definedName name="solver_ver" localSheetId="25" hidden="1">3</definedName>
    <definedName name="solver_ver" localSheetId="26" hidden="1">3</definedName>
    <definedName name="solver_ver" localSheetId="28" hidden="1">3</definedName>
    <definedName name="solver_ver" localSheetId="29" hidden="1">3</definedName>
    <definedName name="solver_ver" localSheetId="2" hidden="1">3</definedName>
    <definedName name="solver_ver" localSheetId="4" hidden="1">3</definedName>
    <definedName name="solver_ver" localSheetId="6" hidden="1">3</definedName>
    <definedName name="solver_ver" localSheetId="8" hidden="1">3</definedName>
    <definedName name="solver_ver" localSheetId="10" hidden="1">3</definedName>
    <definedName name="solver_ver" localSheetId="11" hidden="1">3</definedName>
    <definedName name="solver_ver" localSheetId="13" hidden="1">3</definedName>
    <definedName name="solver_ver" localSheetId="1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80" l="1"/>
  <c r="T7" i="80"/>
  <c r="T8" i="80"/>
  <c r="T9" i="80"/>
  <c r="T10" i="80"/>
  <c r="T11" i="80"/>
  <c r="T6" i="80"/>
  <c r="H15" i="80"/>
  <c r="O8" i="80" s="1"/>
  <c r="G15" i="80"/>
  <c r="D3" i="80"/>
  <c r="T11" i="76"/>
  <c r="T10" i="76"/>
  <c r="T8" i="76"/>
  <c r="T9" i="76"/>
  <c r="T7" i="76"/>
  <c r="D25" i="76"/>
  <c r="H16" i="76"/>
  <c r="H15" i="76"/>
  <c r="G15" i="76"/>
  <c r="D3" i="76"/>
  <c r="M19" i="75"/>
  <c r="M18" i="75"/>
  <c r="S8" i="58"/>
  <c r="S9" i="58"/>
  <c r="S10" i="58"/>
  <c r="S7" i="58"/>
  <c r="D18" i="58"/>
  <c r="D3" i="58"/>
  <c r="Y14" i="45"/>
  <c r="Y13" i="45"/>
  <c r="Y12" i="45"/>
  <c r="Y11" i="45" a="1"/>
  <c r="Y11" i="45" s="1"/>
  <c r="Y10" i="45" a="1"/>
  <c r="Y10" i="45" s="1"/>
  <c r="Y9" i="45"/>
  <c r="Y8" i="45" a="1"/>
  <c r="Y8" i="45" s="1"/>
  <c r="Y7" i="45" a="1"/>
  <c r="Y7" i="45" s="1"/>
  <c r="Y6" i="45"/>
  <c r="Y5" i="45"/>
  <c r="Y4" i="45"/>
  <c r="S9" i="45"/>
  <c r="S8" i="45"/>
  <c r="S7" i="45"/>
  <c r="G13" i="45"/>
  <c r="D3" i="45"/>
  <c r="C13" i="45"/>
  <c r="S8" i="40"/>
  <c r="S9" i="40"/>
  <c r="G13" i="40"/>
  <c r="D3" i="40"/>
  <c r="S7" i="40"/>
  <c r="C13" i="40"/>
  <c r="S8" i="37"/>
  <c r="S9" i="37"/>
  <c r="S7" i="37"/>
  <c r="G13" i="37"/>
  <c r="D3" i="37"/>
  <c r="C13" i="37"/>
  <c r="S8" i="35"/>
  <c r="S9" i="35"/>
  <c r="S7" i="35"/>
  <c r="G13" i="35"/>
  <c r="D3" i="35"/>
  <c r="C13" i="35"/>
  <c r="S8" i="30"/>
  <c r="S9" i="30"/>
  <c r="S7" i="30"/>
  <c r="G13" i="30"/>
  <c r="D3" i="30"/>
  <c r="C13" i="30"/>
  <c r="G12" i="24"/>
  <c r="D3" i="24"/>
  <c r="C12" i="24"/>
  <c r="C12" i="21"/>
  <c r="R8" i="19"/>
  <c r="R7" i="19"/>
  <c r="G12" i="19"/>
  <c r="D3" i="19"/>
  <c r="C12" i="19"/>
  <c r="R8" i="17"/>
  <c r="R7" i="17"/>
  <c r="G12" i="17"/>
  <c r="D3" i="17"/>
  <c r="C12" i="17"/>
  <c r="R8" i="8"/>
  <c r="R7" i="8"/>
  <c r="G12" i="8"/>
  <c r="D3" i="8"/>
  <c r="C12" i="8"/>
  <c r="N8" i="3"/>
  <c r="G12" i="3"/>
  <c r="H12" i="3" s="1"/>
  <c r="D3" i="3"/>
  <c r="C12" i="3"/>
  <c r="R8" i="6"/>
  <c r="G12" i="6"/>
  <c r="D3" i="6"/>
  <c r="C12" i="6"/>
  <c r="C12" i="1"/>
  <c r="L16" i="76"/>
  <c r="L17" i="76"/>
  <c r="L18" i="76"/>
  <c r="L19" i="76"/>
  <c r="L19" i="80" s="1"/>
  <c r="M19" i="80" s="1"/>
  <c r="R19" i="80" s="1"/>
  <c r="L15" i="76"/>
  <c r="L16" i="80"/>
  <c r="L17" i="80"/>
  <c r="L18" i="80"/>
  <c r="L15" i="80"/>
  <c r="D27" i="80"/>
  <c r="H21" i="80"/>
  <c r="G21" i="80"/>
  <c r="G22" i="80" s="1"/>
  <c r="G23" i="80" s="1"/>
  <c r="P11" i="80" s="1"/>
  <c r="F21" i="80"/>
  <c r="F22" i="80" s="1"/>
  <c r="F23" i="80" s="1"/>
  <c r="P10" i="80" s="1"/>
  <c r="E21" i="80"/>
  <c r="E22" i="80" s="1"/>
  <c r="E23" i="80" s="1"/>
  <c r="P8" i="80" s="1"/>
  <c r="D21" i="80"/>
  <c r="D22" i="80" s="1"/>
  <c r="Q20" i="80"/>
  <c r="G20" i="80"/>
  <c r="F20" i="80"/>
  <c r="E20" i="80"/>
  <c r="D20" i="80"/>
  <c r="N19" i="80"/>
  <c r="O18" i="80" s="1"/>
  <c r="N18" i="80"/>
  <c r="O17" i="80" s="1"/>
  <c r="R17" i="80"/>
  <c r="N17" i="80"/>
  <c r="P17" i="80" s="1"/>
  <c r="D17" i="80"/>
  <c r="Z16" i="80"/>
  <c r="R16" i="80"/>
  <c r="N16" i="80"/>
  <c r="P16" i="80" s="1"/>
  <c r="Z15" i="80"/>
  <c r="C15" i="80"/>
  <c r="Z13" i="80" a="1"/>
  <c r="Z13" i="80" s="1"/>
  <c r="G12" i="80"/>
  <c r="L11" i="80"/>
  <c r="J11" i="80"/>
  <c r="I11" i="80"/>
  <c r="H11" i="80"/>
  <c r="M11" i="80" s="1"/>
  <c r="F11" i="80"/>
  <c r="R11" i="80" s="1"/>
  <c r="E11" i="80"/>
  <c r="D11" i="80"/>
  <c r="Z10" i="80"/>
  <c r="R10" i="80"/>
  <c r="M10" i="80"/>
  <c r="L10" i="80"/>
  <c r="H10" i="80"/>
  <c r="F10" i="80"/>
  <c r="E10" i="80"/>
  <c r="I10" i="80" s="1"/>
  <c r="D10" i="80"/>
  <c r="J10" i="80" s="1"/>
  <c r="P9" i="80"/>
  <c r="L9" i="80"/>
  <c r="J9" i="80"/>
  <c r="H9" i="80"/>
  <c r="F9" i="80"/>
  <c r="M9" i="80" s="1"/>
  <c r="E9" i="80"/>
  <c r="I9" i="80" s="1"/>
  <c r="D9" i="80"/>
  <c r="L8" i="80"/>
  <c r="J8" i="80"/>
  <c r="H8" i="80"/>
  <c r="F8" i="80"/>
  <c r="M8" i="80" s="1"/>
  <c r="E8" i="80"/>
  <c r="I8" i="80" s="1"/>
  <c r="D8" i="80"/>
  <c r="Z7" i="80" a="1"/>
  <c r="Z7" i="80" s="1"/>
  <c r="R7" i="80"/>
  <c r="M7" i="80"/>
  <c r="L7" i="80"/>
  <c r="J7" i="80"/>
  <c r="I7" i="80"/>
  <c r="H7" i="80"/>
  <c r="F7" i="80"/>
  <c r="E7" i="80"/>
  <c r="D7" i="80"/>
  <c r="P6" i="80"/>
  <c r="O6" i="80"/>
  <c r="L6" i="80"/>
  <c r="L12" i="80" s="1"/>
  <c r="H6" i="80"/>
  <c r="G6" i="80"/>
  <c r="F6" i="80"/>
  <c r="E6" i="80"/>
  <c r="D6" i="80"/>
  <c r="Z5" i="80"/>
  <c r="N6" i="80"/>
  <c r="Q6" i="80" s="1"/>
  <c r="C3" i="80"/>
  <c r="R8" i="80" l="1"/>
  <c r="R9" i="80"/>
  <c r="Z12" i="80"/>
  <c r="M6" i="80"/>
  <c r="Z6" i="80"/>
  <c r="J6" i="80"/>
  <c r="Z14" i="80" s="1" a="1"/>
  <c r="Z14" i="80" s="1"/>
  <c r="M18" i="80"/>
  <c r="R18" i="80" s="1"/>
  <c r="R20" i="80" s="1"/>
  <c r="F15" i="80" s="1"/>
  <c r="D23" i="80"/>
  <c r="P7" i="80" s="1"/>
  <c r="H22" i="80"/>
  <c r="M12" i="80"/>
  <c r="Z4" i="80" s="1"/>
  <c r="N10" i="80"/>
  <c r="N11" i="80"/>
  <c r="P19" i="80"/>
  <c r="I6" i="80"/>
  <c r="Z11" i="80" s="1" a="1"/>
  <c r="Z11" i="80" s="1"/>
  <c r="P18" i="80"/>
  <c r="N9" i="80"/>
  <c r="O10" i="80"/>
  <c r="O11" i="80"/>
  <c r="O16" i="80"/>
  <c r="R6" i="80"/>
  <c r="N7" i="80"/>
  <c r="O7" i="80"/>
  <c r="N8" i="80"/>
  <c r="Q8" i="80" s="1"/>
  <c r="S8" i="80" s="1"/>
  <c r="O9" i="80"/>
  <c r="O11" i="76"/>
  <c r="N10" i="76"/>
  <c r="L11" i="76"/>
  <c r="L10" i="76"/>
  <c r="L9" i="76"/>
  <c r="L8" i="76"/>
  <c r="L7" i="76"/>
  <c r="L6" i="76"/>
  <c r="L11" i="75"/>
  <c r="L7" i="75"/>
  <c r="L8" i="75"/>
  <c r="L9" i="75"/>
  <c r="L10" i="75"/>
  <c r="L6" i="75"/>
  <c r="E21" i="76"/>
  <c r="E22" i="76" s="1"/>
  <c r="E23" i="76" s="1"/>
  <c r="P8" i="76" s="1"/>
  <c r="F21" i="76"/>
  <c r="F22" i="76" s="1"/>
  <c r="G21" i="76"/>
  <c r="H21" i="76"/>
  <c r="D21" i="76"/>
  <c r="D22" i="76" s="1"/>
  <c r="P6" i="76"/>
  <c r="O6" i="76"/>
  <c r="H7" i="76"/>
  <c r="R7" i="76" s="1"/>
  <c r="H8" i="76"/>
  <c r="R8" i="76" s="1"/>
  <c r="H9" i="76"/>
  <c r="H10" i="76"/>
  <c r="H11" i="76"/>
  <c r="H6" i="76"/>
  <c r="D7" i="76"/>
  <c r="J7" i="76" s="1"/>
  <c r="E7" i="76"/>
  <c r="I7" i="76" s="1"/>
  <c r="F7" i="76"/>
  <c r="D8" i="76"/>
  <c r="J8" i="76" s="1"/>
  <c r="E8" i="76"/>
  <c r="F8" i="76"/>
  <c r="D9" i="76"/>
  <c r="J9" i="76" s="1"/>
  <c r="E9" i="76"/>
  <c r="I9" i="76" s="1"/>
  <c r="F9" i="76"/>
  <c r="R9" i="76" s="1"/>
  <c r="D10" i="76"/>
  <c r="E10" i="76"/>
  <c r="I10" i="76" s="1"/>
  <c r="F10" i="76"/>
  <c r="R10" i="76" s="1"/>
  <c r="D11" i="76"/>
  <c r="E11" i="76"/>
  <c r="F11" i="76"/>
  <c r="E6" i="76"/>
  <c r="F6" i="76"/>
  <c r="G6" i="76"/>
  <c r="D6" i="76"/>
  <c r="C3" i="76"/>
  <c r="M18" i="76"/>
  <c r="R18" i="76" s="1"/>
  <c r="N17" i="76"/>
  <c r="O16" i="76" s="1"/>
  <c r="N18" i="76"/>
  <c r="O17" i="76" s="1"/>
  <c r="N19" i="76"/>
  <c r="O18" i="76" s="1"/>
  <c r="N16" i="76"/>
  <c r="P16" i="76" s="1"/>
  <c r="D27" i="76"/>
  <c r="Z10" i="76" s="1"/>
  <c r="G22" i="76"/>
  <c r="G23" i="76" s="1"/>
  <c r="P11" i="76" s="1"/>
  <c r="Q20" i="76"/>
  <c r="G20" i="76"/>
  <c r="F20" i="76"/>
  <c r="E20" i="76"/>
  <c r="D20" i="76"/>
  <c r="R17" i="76"/>
  <c r="D17" i="76"/>
  <c r="Z16" i="76"/>
  <c r="R16" i="76"/>
  <c r="Z15" i="76"/>
  <c r="C15" i="76"/>
  <c r="Z14" i="76" a="1"/>
  <c r="Z13" i="76"/>
  <c r="Z13" i="76" a="1"/>
  <c r="Z12" i="76"/>
  <c r="G12" i="76"/>
  <c r="Z11" i="76" a="1"/>
  <c r="J11" i="76"/>
  <c r="I11" i="76"/>
  <c r="J10" i="76"/>
  <c r="P9" i="76"/>
  <c r="I8" i="76"/>
  <c r="Z7" i="76"/>
  <c r="Z7" i="76" a="1"/>
  <c r="Z5" i="76"/>
  <c r="I9" i="75"/>
  <c r="J9" i="75"/>
  <c r="M9" i="75"/>
  <c r="R16" i="75"/>
  <c r="R17" i="75"/>
  <c r="Q20" i="75"/>
  <c r="O16" i="75"/>
  <c r="O17" i="75"/>
  <c r="O18" i="75"/>
  <c r="P16" i="75"/>
  <c r="P17" i="75"/>
  <c r="P18" i="75"/>
  <c r="P19" i="75"/>
  <c r="R19" i="75"/>
  <c r="R18" i="75"/>
  <c r="D27" i="75"/>
  <c r="Z10" i="75" s="1"/>
  <c r="G22" i="75"/>
  <c r="F22" i="75"/>
  <c r="E22" i="75"/>
  <c r="D22" i="75"/>
  <c r="G20" i="75"/>
  <c r="F20" i="75"/>
  <c r="E20" i="75"/>
  <c r="D20" i="75"/>
  <c r="D17" i="75"/>
  <c r="Z16" i="75"/>
  <c r="Z15" i="75"/>
  <c r="C15" i="75"/>
  <c r="Z13" i="75" a="1"/>
  <c r="Z13" i="75" s="1"/>
  <c r="Z12" i="75"/>
  <c r="G12" i="75"/>
  <c r="M11" i="75"/>
  <c r="J11" i="75"/>
  <c r="I11" i="75"/>
  <c r="M10" i="75"/>
  <c r="J10" i="75"/>
  <c r="I10" i="75"/>
  <c r="M8" i="75"/>
  <c r="J8" i="75"/>
  <c r="I8" i="75"/>
  <c r="Z7" i="75" a="1"/>
  <c r="Z7" i="75" s="1"/>
  <c r="M7" i="75"/>
  <c r="J7" i="75"/>
  <c r="I7" i="75"/>
  <c r="M6" i="75"/>
  <c r="J6" i="75"/>
  <c r="Z14" i="75" s="1" a="1"/>
  <c r="I6" i="75"/>
  <c r="Z11" i="75" s="1" a="1"/>
  <c r="Z11" i="75" s="1"/>
  <c r="Z5" i="75"/>
  <c r="G15" i="58"/>
  <c r="F15" i="58"/>
  <c r="E15" i="58"/>
  <c r="D15" i="58"/>
  <c r="D16" i="58" s="1"/>
  <c r="P8" i="24"/>
  <c r="G7" i="3"/>
  <c r="P7" i="3" s="1"/>
  <c r="N7" i="3"/>
  <c r="N6" i="3"/>
  <c r="N7" i="6"/>
  <c r="Q11" i="80" l="1"/>
  <c r="S11" i="80" s="1"/>
  <c r="Q10" i="80"/>
  <c r="S10" i="80" s="1"/>
  <c r="H15" i="58"/>
  <c r="Q7" i="80"/>
  <c r="S7" i="80" s="1"/>
  <c r="M19" i="76"/>
  <c r="R19" i="76" s="1"/>
  <c r="R20" i="76" s="1"/>
  <c r="F15" i="76" s="1"/>
  <c r="I6" i="76"/>
  <c r="R11" i="76"/>
  <c r="M10" i="76"/>
  <c r="Q9" i="80"/>
  <c r="S9" i="80" s="1"/>
  <c r="O10" i="76"/>
  <c r="O8" i="76"/>
  <c r="O9" i="76"/>
  <c r="O7" i="76"/>
  <c r="L12" i="76"/>
  <c r="Z6" i="76" s="1"/>
  <c r="P19" i="76"/>
  <c r="P18" i="76"/>
  <c r="F23" i="76"/>
  <c r="P10" i="76" s="1"/>
  <c r="M7" i="76"/>
  <c r="M8" i="76"/>
  <c r="M11" i="76"/>
  <c r="R6" i="76"/>
  <c r="M9" i="76"/>
  <c r="M6" i="76"/>
  <c r="J6" i="76"/>
  <c r="Z11" i="76"/>
  <c r="Z14" i="76"/>
  <c r="P17" i="76"/>
  <c r="H22" i="76"/>
  <c r="N8" i="76"/>
  <c r="N11" i="76"/>
  <c r="Q11" i="76" s="1"/>
  <c r="D23" i="76"/>
  <c r="P7" i="76" s="1"/>
  <c r="N9" i="76"/>
  <c r="N7" i="76"/>
  <c r="N6" i="76"/>
  <c r="Q6" i="76" s="1"/>
  <c r="M12" i="75"/>
  <c r="R20" i="75"/>
  <c r="F15" i="75" s="1"/>
  <c r="L12" i="75"/>
  <c r="Z14" i="75"/>
  <c r="H22" i="75"/>
  <c r="O7" i="58"/>
  <c r="E16" i="58"/>
  <c r="O8" i="58" s="1"/>
  <c r="F16" i="58"/>
  <c r="O9" i="58" s="1"/>
  <c r="G16" i="58"/>
  <c r="O10" i="58" s="1"/>
  <c r="N6" i="58"/>
  <c r="P6" i="58" s="1"/>
  <c r="D20" i="58"/>
  <c r="Y9" i="58" s="1"/>
  <c r="Y15" i="58"/>
  <c r="Y14" i="58"/>
  <c r="G13" i="58"/>
  <c r="F13" i="58"/>
  <c r="E13" i="58"/>
  <c r="D13" i="58"/>
  <c r="Y12" i="58" a="1"/>
  <c r="Y12" i="58" s="1"/>
  <c r="Y11" i="58"/>
  <c r="G11" i="58"/>
  <c r="Y10" i="58" a="1"/>
  <c r="Y10" i="58" s="1"/>
  <c r="Q10" i="58"/>
  <c r="M10" i="58"/>
  <c r="L10" i="58"/>
  <c r="J10" i="58"/>
  <c r="I10" i="58"/>
  <c r="Q9" i="58"/>
  <c r="M9" i="58"/>
  <c r="L9" i="58"/>
  <c r="J9" i="58"/>
  <c r="I9" i="58"/>
  <c r="Q8" i="58"/>
  <c r="M8" i="58"/>
  <c r="L8" i="58"/>
  <c r="J8" i="58"/>
  <c r="I8" i="58"/>
  <c r="Y7" i="58"/>
  <c r="Y7" i="58" a="1"/>
  <c r="Q7" i="58"/>
  <c r="M7" i="58"/>
  <c r="L7" i="58"/>
  <c r="J7" i="58"/>
  <c r="I7" i="58"/>
  <c r="Q6" i="58"/>
  <c r="O6" i="58"/>
  <c r="M6" i="58"/>
  <c r="L6" i="58"/>
  <c r="J6" i="58"/>
  <c r="Y13" i="58" s="1" a="1"/>
  <c r="Y13" i="58" s="1"/>
  <c r="I6" i="58"/>
  <c r="Y5" i="58"/>
  <c r="N7" i="45"/>
  <c r="I7" i="17"/>
  <c r="I7" i="19"/>
  <c r="I7" i="21"/>
  <c r="I7" i="24"/>
  <c r="I7" i="30"/>
  <c r="I8" i="30"/>
  <c r="I7" i="35"/>
  <c r="I8" i="35"/>
  <c r="I7" i="37"/>
  <c r="I8" i="37"/>
  <c r="I7" i="40"/>
  <c r="I7" i="45"/>
  <c r="D15" i="45"/>
  <c r="H13" i="45"/>
  <c r="G10" i="45"/>
  <c r="F13" i="45" s="1"/>
  <c r="Q9" i="45"/>
  <c r="M9" i="45"/>
  <c r="L9" i="45"/>
  <c r="J9" i="45"/>
  <c r="I9" i="45"/>
  <c r="Q8" i="45"/>
  <c r="M8" i="45"/>
  <c r="L8" i="45"/>
  <c r="J8" i="45"/>
  <c r="I8" i="45"/>
  <c r="Q7" i="45"/>
  <c r="M7" i="45"/>
  <c r="L7" i="45"/>
  <c r="J7" i="45"/>
  <c r="Q6" i="45"/>
  <c r="O6" i="45"/>
  <c r="N6" i="45"/>
  <c r="P6" i="45" s="1"/>
  <c r="M6" i="45"/>
  <c r="L6" i="45"/>
  <c r="J6" i="45"/>
  <c r="I6" i="45"/>
  <c r="F12" i="1"/>
  <c r="F12" i="6"/>
  <c r="H12" i="19"/>
  <c r="H12" i="21"/>
  <c r="N7" i="21" s="1"/>
  <c r="H12" i="24"/>
  <c r="N8" i="24" s="1"/>
  <c r="H13" i="35"/>
  <c r="H13" i="40"/>
  <c r="D15" i="40"/>
  <c r="G10" i="40"/>
  <c r="F13" i="40" s="1"/>
  <c r="Q9" i="40"/>
  <c r="M9" i="40"/>
  <c r="L9" i="40"/>
  <c r="J9" i="40"/>
  <c r="I9" i="40"/>
  <c r="Q8" i="40"/>
  <c r="M8" i="40"/>
  <c r="L8" i="40"/>
  <c r="J8" i="40"/>
  <c r="I8" i="40"/>
  <c r="Q7" i="40"/>
  <c r="M7" i="40"/>
  <c r="L7" i="40"/>
  <c r="J7" i="40"/>
  <c r="Q6" i="40"/>
  <c r="O6" i="40"/>
  <c r="M6" i="40"/>
  <c r="L6" i="40"/>
  <c r="J6" i="40"/>
  <c r="I6" i="40"/>
  <c r="N6" i="40"/>
  <c r="P6" i="40" s="1"/>
  <c r="H13" i="37"/>
  <c r="N6" i="37"/>
  <c r="P6" i="37" s="1"/>
  <c r="D15" i="37"/>
  <c r="G10" i="37"/>
  <c r="F13" i="37" s="1"/>
  <c r="Q9" i="37"/>
  <c r="M9" i="37"/>
  <c r="L9" i="37"/>
  <c r="J9" i="37"/>
  <c r="I9" i="37"/>
  <c r="Q8" i="37"/>
  <c r="M8" i="37"/>
  <c r="L8" i="37"/>
  <c r="J8" i="37"/>
  <c r="Q7" i="37"/>
  <c r="M7" i="37"/>
  <c r="L7" i="37"/>
  <c r="J7" i="37"/>
  <c r="Q6" i="37"/>
  <c r="O6" i="37"/>
  <c r="M6" i="37"/>
  <c r="L6" i="37"/>
  <c r="J6" i="37"/>
  <c r="I6" i="37"/>
  <c r="N6" i="35"/>
  <c r="P6" i="35" s="1"/>
  <c r="D15" i="35"/>
  <c r="G10" i="35"/>
  <c r="F13" i="35" s="1"/>
  <c r="Q9" i="35"/>
  <c r="M9" i="35"/>
  <c r="L9" i="35"/>
  <c r="J9" i="35"/>
  <c r="I9" i="35"/>
  <c r="Q8" i="35"/>
  <c r="M8" i="35"/>
  <c r="L8" i="35"/>
  <c r="J8" i="35"/>
  <c r="Q7" i="35"/>
  <c r="M7" i="35"/>
  <c r="L7" i="35"/>
  <c r="J7" i="35"/>
  <c r="Q6" i="35"/>
  <c r="O6" i="35"/>
  <c r="M6" i="35"/>
  <c r="L6" i="35"/>
  <c r="J6" i="35"/>
  <c r="I6" i="35"/>
  <c r="H13" i="30"/>
  <c r="N9" i="30"/>
  <c r="L9" i="30"/>
  <c r="L7" i="30"/>
  <c r="L8" i="30"/>
  <c r="L6" i="30"/>
  <c r="Q9" i="30"/>
  <c r="M9" i="30"/>
  <c r="Q8" i="30"/>
  <c r="M8" i="30"/>
  <c r="J8" i="30"/>
  <c r="G10" i="30"/>
  <c r="F13" i="30" s="1"/>
  <c r="J9" i="30"/>
  <c r="I9" i="30"/>
  <c r="Q7" i="30"/>
  <c r="M7" i="30"/>
  <c r="J7" i="30"/>
  <c r="Q6" i="30"/>
  <c r="O6" i="30"/>
  <c r="M6" i="30"/>
  <c r="J6" i="30"/>
  <c r="I6" i="30"/>
  <c r="M6" i="24"/>
  <c r="O6" i="24" s="1"/>
  <c r="K9" i="24"/>
  <c r="G9" i="24"/>
  <c r="F12" i="24" s="1"/>
  <c r="L8" i="24"/>
  <c r="J8" i="24"/>
  <c r="I8" i="24"/>
  <c r="P7" i="24"/>
  <c r="L7" i="24"/>
  <c r="J7" i="24"/>
  <c r="P6" i="24"/>
  <c r="N6" i="24"/>
  <c r="L6" i="24"/>
  <c r="J6" i="24"/>
  <c r="I6" i="24"/>
  <c r="K9" i="21"/>
  <c r="G9" i="21"/>
  <c r="F12" i="21" s="1"/>
  <c r="L8" i="21"/>
  <c r="J8" i="21"/>
  <c r="I8" i="21"/>
  <c r="L7" i="21"/>
  <c r="J7" i="21"/>
  <c r="N6" i="21"/>
  <c r="M6" i="21"/>
  <c r="O6" i="21" s="1"/>
  <c r="L6" i="21"/>
  <c r="J6" i="21"/>
  <c r="I6" i="21"/>
  <c r="M8" i="21"/>
  <c r="M7" i="19"/>
  <c r="K9" i="19"/>
  <c r="G9" i="19"/>
  <c r="F12" i="19" s="1"/>
  <c r="P8" i="19"/>
  <c r="L8" i="19"/>
  <c r="J8" i="19"/>
  <c r="I8" i="19"/>
  <c r="P7" i="19"/>
  <c r="L7" i="19"/>
  <c r="J7" i="19"/>
  <c r="P6" i="19"/>
  <c r="N6" i="19"/>
  <c r="L6" i="19"/>
  <c r="J6" i="19"/>
  <c r="I6" i="19"/>
  <c r="I7" i="8"/>
  <c r="N6" i="6"/>
  <c r="P8" i="8"/>
  <c r="M8" i="8"/>
  <c r="P7" i="8"/>
  <c r="N6" i="8"/>
  <c r="M6" i="8"/>
  <c r="O6" i="8" s="1"/>
  <c r="P7" i="17"/>
  <c r="P8" i="17"/>
  <c r="P6" i="17"/>
  <c r="H12" i="17"/>
  <c r="K9" i="17"/>
  <c r="G9" i="17"/>
  <c r="F12" i="17" s="1"/>
  <c r="L8" i="17"/>
  <c r="J8" i="17"/>
  <c r="I8" i="17"/>
  <c r="L7" i="17"/>
  <c r="J7" i="17"/>
  <c r="N6" i="17"/>
  <c r="L6" i="17"/>
  <c r="J6" i="17"/>
  <c r="I6" i="17"/>
  <c r="M6" i="17"/>
  <c r="O6" i="17" s="1"/>
  <c r="H12" i="6"/>
  <c r="H12" i="8"/>
  <c r="N7" i="8" s="1"/>
  <c r="M7" i="8"/>
  <c r="G9" i="8"/>
  <c r="F12" i="8" s="1"/>
  <c r="L8" i="8"/>
  <c r="L7" i="8"/>
  <c r="L6" i="8"/>
  <c r="L7" i="6"/>
  <c r="P7" i="6" s="1"/>
  <c r="L8" i="6"/>
  <c r="P8" i="6" s="1"/>
  <c r="L6" i="6"/>
  <c r="M7" i="6"/>
  <c r="K9" i="8"/>
  <c r="J8" i="8"/>
  <c r="I8" i="8"/>
  <c r="J7" i="8"/>
  <c r="J6" i="8"/>
  <c r="I6" i="8"/>
  <c r="K9" i="6"/>
  <c r="J8" i="6"/>
  <c r="I8" i="6"/>
  <c r="J7" i="6"/>
  <c r="I7" i="6"/>
  <c r="J6" i="6"/>
  <c r="I6" i="6"/>
  <c r="L7" i="1"/>
  <c r="L8" i="1"/>
  <c r="L6" i="1"/>
  <c r="E6" i="3"/>
  <c r="F6" i="3"/>
  <c r="L6" i="3" s="1"/>
  <c r="G6" i="3"/>
  <c r="H6" i="3"/>
  <c r="I6" i="3"/>
  <c r="J6" i="3"/>
  <c r="E7" i="3"/>
  <c r="F7" i="3"/>
  <c r="H7" i="3"/>
  <c r="I7" i="3"/>
  <c r="J7" i="3"/>
  <c r="E8" i="3"/>
  <c r="F8" i="3"/>
  <c r="G8" i="3"/>
  <c r="H8" i="3"/>
  <c r="D7" i="3"/>
  <c r="D8" i="3"/>
  <c r="D6" i="3"/>
  <c r="K9" i="3"/>
  <c r="J7" i="1"/>
  <c r="J8" i="1"/>
  <c r="J8" i="3" s="1"/>
  <c r="J6" i="1"/>
  <c r="I7" i="1"/>
  <c r="I8" i="1"/>
  <c r="I8" i="3" s="1"/>
  <c r="I6" i="1"/>
  <c r="K9" i="1"/>
  <c r="S11" i="76" l="1"/>
  <c r="M7" i="3"/>
  <c r="O7" i="3" s="1"/>
  <c r="Q7" i="3" s="1"/>
  <c r="M8" i="3"/>
  <c r="O8" i="3" s="1"/>
  <c r="M6" i="3"/>
  <c r="O6" i="3" s="1"/>
  <c r="M6" i="6"/>
  <c r="O6" i="6" s="1"/>
  <c r="M8" i="6"/>
  <c r="Q9" i="76"/>
  <c r="S9" i="76" s="1"/>
  <c r="Q10" i="76"/>
  <c r="S10" i="76" s="1"/>
  <c r="Q8" i="76"/>
  <c r="S8" i="76" s="1"/>
  <c r="M12" i="76"/>
  <c r="Z4" i="76" s="1"/>
  <c r="Q7" i="76"/>
  <c r="S7" i="76" s="1"/>
  <c r="Z4" i="75"/>
  <c r="Z6" i="75"/>
  <c r="F12" i="3"/>
  <c r="P8" i="3"/>
  <c r="N9" i="58"/>
  <c r="P9" i="58" s="1"/>
  <c r="R9" i="58" s="1"/>
  <c r="M11" i="58"/>
  <c r="Y4" i="58" s="1"/>
  <c r="L11" i="58"/>
  <c r="Y6" i="58" s="1"/>
  <c r="N7" i="58"/>
  <c r="N10" i="58"/>
  <c r="N8" i="58"/>
  <c r="N8" i="45"/>
  <c r="N9" i="37"/>
  <c r="M8" i="17"/>
  <c r="M10" i="45"/>
  <c r="L10" i="45"/>
  <c r="O9" i="45"/>
  <c r="O8" i="45"/>
  <c r="O7" i="45"/>
  <c r="P7" i="45" s="1"/>
  <c r="R7" i="45" s="1"/>
  <c r="N9" i="45"/>
  <c r="L7" i="3"/>
  <c r="L8" i="3"/>
  <c r="O7" i="6"/>
  <c r="Q7" i="6" s="1"/>
  <c r="N8" i="6"/>
  <c r="N8" i="8"/>
  <c r="O8" i="8" s="1"/>
  <c r="Q8" i="8" s="1"/>
  <c r="O7" i="8"/>
  <c r="Q7" i="8" s="1"/>
  <c r="L10" i="40"/>
  <c r="M10" i="40"/>
  <c r="O9" i="40"/>
  <c r="O8" i="40"/>
  <c r="O7" i="40"/>
  <c r="N7" i="40"/>
  <c r="N8" i="40"/>
  <c r="N9" i="40"/>
  <c r="O7" i="37"/>
  <c r="O8" i="37"/>
  <c r="O9" i="37"/>
  <c r="L10" i="37"/>
  <c r="M10" i="37"/>
  <c r="N7" i="37"/>
  <c r="N8" i="37"/>
  <c r="M10" i="35"/>
  <c r="L10" i="35"/>
  <c r="O9" i="35"/>
  <c r="O8" i="35"/>
  <c r="O7" i="35"/>
  <c r="N7" i="35"/>
  <c r="N8" i="35"/>
  <c r="N9" i="35"/>
  <c r="O8" i="30"/>
  <c r="N8" i="30"/>
  <c r="N7" i="30"/>
  <c r="L10" i="30"/>
  <c r="O9" i="30"/>
  <c r="P9" i="30" s="1"/>
  <c r="R9" i="30" s="1"/>
  <c r="M10" i="30"/>
  <c r="O7" i="30"/>
  <c r="N6" i="30"/>
  <c r="P6" i="30" s="1"/>
  <c r="M7" i="24"/>
  <c r="L9" i="24"/>
  <c r="N7" i="24"/>
  <c r="M8" i="24"/>
  <c r="N8" i="21"/>
  <c r="O8" i="21" s="1"/>
  <c r="M7" i="21"/>
  <c r="O7" i="21" s="1"/>
  <c r="L9" i="21"/>
  <c r="M6" i="19"/>
  <c r="O6" i="19" s="1"/>
  <c r="L9" i="19"/>
  <c r="N8" i="19"/>
  <c r="N7" i="19"/>
  <c r="O7" i="19" s="1"/>
  <c r="Q7" i="19" s="1"/>
  <c r="M8" i="19"/>
  <c r="L9" i="17"/>
  <c r="N7" i="17"/>
  <c r="N8" i="17"/>
  <c r="M7" i="17"/>
  <c r="L9" i="8"/>
  <c r="L9" i="6"/>
  <c r="L9" i="1"/>
  <c r="P9" i="37" l="1"/>
  <c r="R9" i="37" s="1"/>
  <c r="Q8" i="3"/>
  <c r="O8" i="6"/>
  <c r="Q8" i="6" s="1"/>
  <c r="P7" i="58"/>
  <c r="R7" i="58" s="1"/>
  <c r="P8" i="58"/>
  <c r="R8" i="58" s="1"/>
  <c r="P10" i="58"/>
  <c r="R10" i="58" s="1"/>
  <c r="P8" i="45"/>
  <c r="R8" i="45" s="1"/>
  <c r="O8" i="17"/>
  <c r="Q8" i="17" s="1"/>
  <c r="P9" i="45"/>
  <c r="R9" i="45" s="1"/>
  <c r="P7" i="40"/>
  <c r="R7" i="40" s="1"/>
  <c r="P9" i="40"/>
  <c r="R9" i="40" s="1"/>
  <c r="P8" i="40"/>
  <c r="R8" i="40" s="1"/>
  <c r="P8" i="37"/>
  <c r="R8" i="37" s="1"/>
  <c r="P7" i="37"/>
  <c r="R7" i="37" s="1"/>
  <c r="P7" i="35"/>
  <c r="R7" i="35" s="1"/>
  <c r="P9" i="35"/>
  <c r="R9" i="35" s="1"/>
  <c r="P8" i="35"/>
  <c r="R8" i="35" s="1"/>
  <c r="P8" i="30"/>
  <c r="R8" i="30" s="1"/>
  <c r="P7" i="30"/>
  <c r="R7" i="30" s="1"/>
  <c r="O8" i="24"/>
  <c r="Q8" i="24" s="1"/>
  <c r="O7" i="24"/>
  <c r="Q7" i="24" s="1"/>
  <c r="O8" i="19"/>
  <c r="Q8" i="19" s="1"/>
  <c r="O7" i="17"/>
  <c r="Q7" i="17" s="1"/>
  <c r="L9" i="3"/>
</calcChain>
</file>

<file path=xl/sharedStrings.xml><?xml version="1.0" encoding="utf-8"?>
<sst xmlns="http://schemas.openxmlformats.org/spreadsheetml/2006/main" count="1334" uniqueCount="155">
  <si>
    <t>Demand</t>
  </si>
  <si>
    <t>Gen 1</t>
  </si>
  <si>
    <t>SSG</t>
  </si>
  <si>
    <t>Wind</t>
  </si>
  <si>
    <t>Capacity / potential (MW)</t>
  </si>
  <si>
    <t>Price</t>
  </si>
  <si>
    <t>Unit commitment</t>
  </si>
  <si>
    <t>Dispatch</t>
  </si>
  <si>
    <t>Cost</t>
  </si>
  <si>
    <t>Minimum load</t>
  </si>
  <si>
    <t>Commitment price ($/h)</t>
  </si>
  <si>
    <t>Total</t>
  </si>
  <si>
    <t>Wind constraint</t>
  </si>
  <si>
    <t>Minimum loading</t>
  </si>
  <si>
    <t>Microsoft Excel 16.0 Sensitivity Report</t>
  </si>
  <si>
    <t>Variable Cells</t>
  </si>
  <si>
    <t>Cell</t>
  </si>
  <si>
    <t>Name</t>
  </si>
  <si>
    <t>Final</t>
  </si>
  <si>
    <t>Value</t>
  </si>
  <si>
    <t>Reduced</t>
  </si>
  <si>
    <t>Constraints</t>
  </si>
  <si>
    <t>$G$8</t>
  </si>
  <si>
    <t>SSG Unit commitment</t>
  </si>
  <si>
    <t>Wind Dispatch</t>
  </si>
  <si>
    <t>Gen 1 Dispatch</t>
  </si>
  <si>
    <t>SSG Dispatch</t>
  </si>
  <si>
    <t>$K$9</t>
  </si>
  <si>
    <t>Maximum loading</t>
  </si>
  <si>
    <t>Objective</t>
  </si>
  <si>
    <t>Coefficient</t>
  </si>
  <si>
    <t>Allowable</t>
  </si>
  <si>
    <t>Increase</t>
  </si>
  <si>
    <t>Decrease</t>
  </si>
  <si>
    <t>Shadow</t>
  </si>
  <si>
    <t>Constraint</t>
  </si>
  <si>
    <t>R.H. Side</t>
  </si>
  <si>
    <t>$K$6</t>
  </si>
  <si>
    <t>$K$7</t>
  </si>
  <si>
    <t>$K$8</t>
  </si>
  <si>
    <t>Total Dispatch</t>
  </si>
  <si>
    <t>$G$7</t>
  </si>
  <si>
    <t>Gen 1 Unit commitment</t>
  </si>
  <si>
    <t>Energy price</t>
  </si>
  <si>
    <t>Total SSG</t>
  </si>
  <si>
    <t>Value of SSG</t>
  </si>
  <si>
    <t>Unit "cost"</t>
  </si>
  <si>
    <t>Energy revenue</t>
  </si>
  <si>
    <t>SSG revenue</t>
  </si>
  <si>
    <t>Total revenue</t>
  </si>
  <si>
    <t>Uses binary variables. With Binary variables Solver won't produce sensitivity analysis</t>
  </si>
  <si>
    <t>Models unit commitment via a real variable on [0,1] not with a binary variable. With this model Solver will produce sensitivity analysis and prices for SSG service via the shadow price of the wind constraint</t>
  </si>
  <si>
    <t>This is a post processing optimisation from the binary variable model. In this case the commitment decisions are fixed and Solver is rerun to produce sensitivity analysis and prices for for energy and an SSG service via the reduced cost price of the wind upper bound (constraint)</t>
  </si>
  <si>
    <t>Shadow price is zero because SSG wind constraint does not bind</t>
  </si>
  <si>
    <t>Synch Con</t>
  </si>
  <si>
    <t>$G$9</t>
  </si>
  <si>
    <t>Synch Con Unit commitment</t>
  </si>
  <si>
    <t>Synch Con Dispatch</t>
  </si>
  <si>
    <t>$K$10</t>
  </si>
  <si>
    <t>Generation</t>
  </si>
  <si>
    <t>$L$10</t>
  </si>
  <si>
    <t>Total Generation</t>
  </si>
  <si>
    <t>SSG 1 Gen mode</t>
  </si>
  <si>
    <t>SSG 1 Synch con mode</t>
  </si>
  <si>
    <t>SSG 1 only 1 mode</t>
  </si>
  <si>
    <t>SSG 1 Gen mode Unit commitment</t>
  </si>
  <si>
    <t>SSG 1 Synch con mode Unit commitment</t>
  </si>
  <si>
    <t>SSG 1 Gen mode Dispatch</t>
  </si>
  <si>
    <t>SSG 1 Synch con mode Dispatch</t>
  </si>
  <si>
    <t>$D$15</t>
  </si>
  <si>
    <t>Constant</t>
  </si>
  <si>
    <t>SSG coefficient</t>
  </si>
  <si>
    <t>SSG 1 only 1 mode Constant</t>
  </si>
  <si>
    <t>Value of SSG in relaxing constraint</t>
  </si>
  <si>
    <t>Price (shadow price of wind constraint)</t>
  </si>
  <si>
    <t>NA</t>
  </si>
  <si>
    <t>Unit "profit"</t>
  </si>
  <si>
    <r>
      <t xml:space="preserve">Models unit commitment via two binary variables. With this model Solver will </t>
    </r>
    <r>
      <rPr>
        <b/>
        <sz val="11"/>
        <color rgb="FFFF0000"/>
        <rFont val="Calibri"/>
        <family val="2"/>
        <scheme val="minor"/>
      </rPr>
      <t>NOT</t>
    </r>
    <r>
      <rPr>
        <sz val="11"/>
        <color theme="1"/>
        <rFont val="Calibri"/>
        <family val="2"/>
        <scheme val="minor"/>
      </rPr>
      <t xml:space="preserve"> produce sensitivity analysis and prices for SSG service via the shadow price of the wind constraint</t>
    </r>
  </si>
  <si>
    <t>Model</t>
  </si>
  <si>
    <t>Configuration coefficient</t>
  </si>
  <si>
    <t>Gen 2</t>
  </si>
  <si>
    <t>Configuration requirement</t>
  </si>
  <si>
    <t>Gen 2 Unit commitment</t>
  </si>
  <si>
    <t>$G$10</t>
  </si>
  <si>
    <t>Gen 2 Dispatch</t>
  </si>
  <si>
    <t>SSG 1 only 1 mode Gen 1</t>
  </si>
  <si>
    <t>$L$11</t>
  </si>
  <si>
    <t>Value of SS to satsifying configuration</t>
  </si>
  <si>
    <t>Marginal price of configuration</t>
  </si>
  <si>
    <t>Models unit commitment via a real variable on [0,1] not with a binary variable. With this model Solver will produce sensitivity analysis and prices for SSG service via the shadow price for the configuration constraint</t>
  </si>
  <si>
    <t>Uses unit commitments from the previous model that used binary variables. With this model Solver will produce sensitivity analysis for energy. The wind constraint is not binding and thus has a price of zero.</t>
  </si>
  <si>
    <t>- Reduced cost (shadow price commitment)</t>
  </si>
  <si>
    <t>$C$13</t>
  </si>
  <si>
    <t>Configuration</t>
  </si>
  <si>
    <t>$H$15</t>
  </si>
  <si>
    <t>Configuration Configuration requirement</t>
  </si>
  <si>
    <t>$D$20</t>
  </si>
  <si>
    <t>Constraint relief revenue</t>
  </si>
  <si>
    <t>Configuration revenue</t>
  </si>
  <si>
    <t>Synchronous units</t>
  </si>
  <si>
    <t>Wind upper limit</t>
  </si>
  <si>
    <t>Wind coefficient</t>
  </si>
  <si>
    <t>Special ordered set variable</t>
  </si>
  <si>
    <t>Dispatched synchronous units</t>
  </si>
  <si>
    <t>Synchronous unit's lower limit</t>
  </si>
  <si>
    <t>Synchronous unit's upper limit</t>
  </si>
  <si>
    <t>Wind enabled amounts</t>
  </si>
  <si>
    <t>Gen 3</t>
  </si>
  <si>
    <t>Gen 3 Unit commitment</t>
  </si>
  <si>
    <t>$G$11</t>
  </si>
  <si>
    <t>Gen 3 Dispatch</t>
  </si>
  <si>
    <t>$K$11</t>
  </si>
  <si>
    <t>$Q$16</t>
  </si>
  <si>
    <t>$Q$17</t>
  </si>
  <si>
    <t>SSG 1 only 1 mode Dispatched synchronous units</t>
  </si>
  <si>
    <t>$Q$18</t>
  </si>
  <si>
    <t>$Q$19</t>
  </si>
  <si>
    <t>$D$27</t>
  </si>
  <si>
    <t>$L$12</t>
  </si>
  <si>
    <t>$H$22</t>
  </si>
  <si>
    <t>$C$15</t>
  </si>
  <si>
    <t>$Q$20</t>
  </si>
  <si>
    <t>Total Dispatched synchronous units</t>
  </si>
  <si>
    <t>Value of synch service in relaxing constraint (multiply wind coefficient for marginal number of synchronous units or shadow price of Total Dispatched synchronous units)</t>
  </si>
  <si>
    <t>Constrained wind</t>
  </si>
  <si>
    <t>Wind constraint value</t>
  </si>
  <si>
    <t>Worksheet: [SSG optimisation v09.xlsx]#2 SSG optimisation</t>
  </si>
  <si>
    <t>$C$12</t>
  </si>
  <si>
    <t>Report Created: 18/10/2021 4:01:32 PM</t>
  </si>
  <si>
    <t>Worksheet: [SSG optimisation v09.xlsx]#3 SSG pricing from binary opt</t>
  </si>
  <si>
    <t>Report Created: 18/10/2021 4:07:56 PM</t>
  </si>
  <si>
    <t>Worksheet: [SSG optimisation v09.xlsx]#4 SSG optimisation 2 SSGs</t>
  </si>
  <si>
    <t>Report Created: 18/10/2021 4:27:01 PM</t>
  </si>
  <si>
    <t>Worksheet: [SSG optimisation v09.xlsx]#5 SSG optimisation 2 SSGs</t>
  </si>
  <si>
    <t>Report Created: 18/10/2021 4:31:18 PM</t>
  </si>
  <si>
    <t>Worksheet: [SSG optimisation v09.xlsx]SSG optimisation 2 SSGs partial</t>
  </si>
  <si>
    <t>Report Created: 18/10/2021 4:35:13 PM</t>
  </si>
  <si>
    <t>Worksheet: [SSG optimisation v09.xlsx]#8 SSG optimisation SSGs fixed</t>
  </si>
  <si>
    <t>Report Created: 18/10/2021 4:42:37 PM</t>
  </si>
  <si>
    <t>Worksheet: [SSG optimisation v09.xlsx]#9 SSG and Synch Con</t>
  </si>
  <si>
    <t>Report Created: 18/10/2021 4:55:03 PM</t>
  </si>
  <si>
    <t>Worksheet: [SSG optimisation v09.xlsx]#10 SSG Mode optimisation</t>
  </si>
  <si>
    <t>Report Created: 18/10/2021 4:58:22 PM</t>
  </si>
  <si>
    <t>Worksheet: [SSG optimisation v09.xlsx]SSG Mode optimisation 2</t>
  </si>
  <si>
    <t>Report Created: 18/10/2021 5:05:02 PM</t>
  </si>
  <si>
    <t>Worksheet: [SSG optimisation v09.xlsx]#12 SSG Mode optimisation</t>
  </si>
  <si>
    <t>Report Created: 18/10/2021 5:19:45 PM</t>
  </si>
  <si>
    <t>Worksheet: [SSG optimisation v09.xlsx]#13 SSG Mode Neg Price</t>
  </si>
  <si>
    <t>Report Created: 18/10/2021 5:24:43 PM</t>
  </si>
  <si>
    <t>Worksheet: [SSG optimisation v09.xlsx]#14 SSG System Configuration</t>
  </si>
  <si>
    <t>Report Created: 18/10/2021 6:27:41 PM</t>
  </si>
  <si>
    <t>Synchronous units online</t>
  </si>
  <si>
    <t>Worksheet: [SSG optimisation v10.xlsx]#16 Pricing NL + SOS fixed</t>
  </si>
  <si>
    <t>Report Created: 18/10/2021 10:23:47 PM</t>
  </si>
  <si>
    <t>Value of synch service in relaxing constraint ( - shadow price of wind constraint x coefficient of number of synchronous units in wind constraint or shadow price of Total Dispatched synchronous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</si>
</sst>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
  </numFmts>
  <fonts count="5" x14ac:knownFonts="1">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b/>
      <sz val="11"/>
      <color indexed="18"/>
      <name val="Calibri"/>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s>
  <borders count="5">
    <border>
      <left/>
      <right/>
      <top/>
      <bottom/>
      <diagonal/>
    </border>
    <border>
      <left/>
      <right/>
      <top style="medium">
        <color indexed="23"/>
      </top>
      <bottom/>
      <diagonal/>
    </border>
    <border>
      <left/>
      <right/>
      <top/>
      <bottom style="medium">
        <color indexed="23"/>
      </bottom>
      <diagonal/>
    </border>
    <border>
      <left/>
      <right/>
      <top style="thin">
        <color indexed="23"/>
      </top>
      <bottom/>
      <diagonal/>
    </border>
    <border>
      <left/>
      <right/>
      <top style="thin">
        <color indexed="23"/>
      </top>
      <bottom style="medium">
        <color indexed="23"/>
      </bottom>
      <diagonal/>
    </border>
  </borders>
  <cellStyleXfs count="1">
    <xf numFmtId="0" fontId="0" fillId="0" borderId="0"/>
  </cellStyleXfs>
  <cellXfs count="50">
    <xf numFmtId="0" fontId="0" fillId="0" borderId="0" xfId="0"/>
    <xf numFmtId="0" fontId="0" fillId="2" borderId="0" xfId="0" applyFill="1"/>
    <xf numFmtId="0" fontId="0" fillId="3" borderId="0" xfId="0" applyFill="1"/>
    <xf numFmtId="3" fontId="0" fillId="4" borderId="0" xfId="0" applyNumberFormat="1" applyFill="1"/>
    <xf numFmtId="0" fontId="0" fillId="4" borderId="0" xfId="0" applyFill="1"/>
    <xf numFmtId="3" fontId="0" fillId="5" borderId="0" xfId="0" applyNumberFormat="1" applyFill="1"/>
    <xf numFmtId="3" fontId="0" fillId="6" borderId="0" xfId="0" applyNumberFormat="1" applyFill="1"/>
    <xf numFmtId="0" fontId="0" fillId="5" borderId="0" xfId="0" applyFill="1"/>
    <xf numFmtId="0" fontId="1" fillId="0" borderId="0" xfId="0" applyFont="1"/>
    <xf numFmtId="0" fontId="0" fillId="0" borderId="3" xfId="0" applyFill="1" applyBorder="1" applyAlignment="1"/>
    <xf numFmtId="0" fontId="0" fillId="0" borderId="4" xfId="0" applyFill="1" applyBorder="1" applyAlignment="1"/>
    <xf numFmtId="0" fontId="0" fillId="7" borderId="0" xfId="0" applyFill="1"/>
    <xf numFmtId="0" fontId="0" fillId="8" borderId="0" xfId="0" applyFill="1"/>
    <xf numFmtId="164" fontId="0" fillId="4" borderId="0" xfId="0" applyNumberFormat="1" applyFill="1"/>
    <xf numFmtId="164" fontId="0" fillId="5" borderId="0" xfId="0" applyNumberFormat="1" applyFill="1"/>
    <xf numFmtId="0" fontId="0" fillId="9" borderId="0" xfId="0" applyFill="1"/>
    <xf numFmtId="0" fontId="0" fillId="2" borderId="0" xfId="0" applyFill="1" applyAlignment="1">
      <alignment wrapText="1"/>
    </xf>
    <xf numFmtId="3" fontId="0" fillId="0" borderId="0" xfId="0" applyNumberFormat="1"/>
    <xf numFmtId="0" fontId="0" fillId="10" borderId="0" xfId="0" applyFill="1"/>
    <xf numFmtId="3" fontId="0" fillId="10" borderId="0" xfId="0" applyNumberFormat="1" applyFill="1"/>
    <xf numFmtId="0" fontId="0" fillId="10" borderId="3" xfId="0" applyFill="1" applyBorder="1" applyAlignment="1"/>
    <xf numFmtId="3" fontId="0" fillId="11" borderId="0" xfId="0" applyNumberFormat="1" applyFill="1"/>
    <xf numFmtId="0" fontId="0" fillId="11" borderId="0" xfId="0" applyFill="1"/>
    <xf numFmtId="0" fontId="0" fillId="11" borderId="3" xfId="0" applyFill="1" applyBorder="1" applyAlignment="1"/>
    <xf numFmtId="0" fontId="0" fillId="10" borderId="4" xfId="0" applyFill="1" applyBorder="1" applyAlignment="1"/>
    <xf numFmtId="165" fontId="0" fillId="5" borderId="0" xfId="0" applyNumberFormat="1" applyFill="1"/>
    <xf numFmtId="1" fontId="0" fillId="5" borderId="0" xfId="0" applyNumberFormat="1" applyFill="1"/>
    <xf numFmtId="2" fontId="0" fillId="4" borderId="0" xfId="0" applyNumberFormat="1" applyFill="1"/>
    <xf numFmtId="165" fontId="0" fillId="4" borderId="0" xfId="0" applyNumberFormat="1" applyFill="1"/>
    <xf numFmtId="0" fontId="0" fillId="12" borderId="0" xfId="0" applyFill="1"/>
    <xf numFmtId="3" fontId="0" fillId="12" borderId="0" xfId="0" applyNumberFormat="1" applyFill="1"/>
    <xf numFmtId="0" fontId="0" fillId="13" borderId="0" xfId="0" applyFill="1"/>
    <xf numFmtId="0" fontId="0" fillId="2" borderId="0" xfId="0" quotePrefix="1" applyFill="1" applyAlignment="1">
      <alignment wrapText="1"/>
    </xf>
    <xf numFmtId="0" fontId="0" fillId="0" borderId="0" xfId="0" applyAlignment="1">
      <alignment wrapText="1"/>
    </xf>
    <xf numFmtId="0" fontId="0" fillId="14" borderId="0" xfId="0" applyFill="1"/>
    <xf numFmtId="165" fontId="0" fillId="14" borderId="0" xfId="0" applyNumberFormat="1" applyFill="1"/>
    <xf numFmtId="2" fontId="0" fillId="5" borderId="0" xfId="0" applyNumberFormat="1" applyFill="1"/>
    <xf numFmtId="0" fontId="0" fillId="15" borderId="0" xfId="0" applyFill="1"/>
    <xf numFmtId="3" fontId="0" fillId="14" borderId="0" xfId="0" applyNumberFormat="1" applyFill="1"/>
    <xf numFmtId="2" fontId="0" fillId="14" borderId="0" xfId="0" applyNumberFormat="1" applyFill="1"/>
    <xf numFmtId="3" fontId="0" fillId="15" borderId="0" xfId="0" applyNumberFormat="1" applyFill="1"/>
    <xf numFmtId="0" fontId="4" fillId="0" borderId="1" xfId="0" applyFont="1" applyFill="1" applyBorder="1" applyAlignment="1">
      <alignment horizontal="center"/>
    </xf>
    <xf numFmtId="0" fontId="4" fillId="0" borderId="2" xfId="0" applyFont="1" applyFill="1" applyBorder="1" applyAlignment="1">
      <alignment horizontal="center"/>
    </xf>
    <xf numFmtId="164" fontId="0" fillId="10" borderId="0" xfId="0" applyNumberFormat="1" applyFill="1"/>
    <xf numFmtId="0" fontId="0" fillId="16" borderId="4" xfId="0" applyFill="1" applyBorder="1" applyAlignment="1"/>
    <xf numFmtId="0" fontId="0" fillId="16" borderId="3" xfId="0" applyFill="1" applyBorder="1" applyAlignment="1"/>
    <xf numFmtId="4" fontId="0" fillId="5" borderId="0" xfId="0" applyNumberFormat="1" applyFill="1"/>
    <xf numFmtId="4" fontId="0" fillId="8" borderId="0" xfId="0" applyNumberFormat="1" applyFill="1"/>
    <xf numFmtId="166" fontId="0" fillId="8" borderId="0" xfId="0" applyNumberFormat="1" applyFill="1"/>
    <xf numFmtId="4" fontId="0" fillId="10" borderId="0" xfId="0" applyNumberFormat="1" applyFill="1"/>
  </cellXfs>
  <cellStyles count="1">
    <cellStyle name="Normal" xfId="0" builtinId="0"/>
  </cellStyles>
  <dxfs count="1">
    <dxf>
      <fill>
        <patternFill>
          <bgColor rgb="FFFF99CC"/>
        </patternFill>
      </fill>
    </dxf>
  </dxfs>
  <tableStyles count="0" defaultTableStyle="TableStyleMedium2" defaultPivotStyle="PivotStyleLight16"/>
  <colors>
    <mruColors>
      <color rgb="FFFFFF99"/>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Wind generation upper limit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19050" cap="rnd">
              <a:solidFill>
                <a:schemeClr val="accent1"/>
              </a:solidFill>
              <a:round/>
            </a:ln>
            <a:effectLst/>
          </c:spPr>
          <c:marker>
            <c:symbol val="none"/>
          </c:marker>
          <c:xVal>
            <c:numRef>
              <c:f>'#15 Wind const + non linear'!$K$15:$K$19</c:f>
              <c:numCache>
                <c:formatCode>General</c:formatCode>
                <c:ptCount val="5"/>
                <c:pt idx="0">
                  <c:v>0</c:v>
                </c:pt>
                <c:pt idx="1">
                  <c:v>1</c:v>
                </c:pt>
                <c:pt idx="2">
                  <c:v>2</c:v>
                </c:pt>
                <c:pt idx="3">
                  <c:v>3</c:v>
                </c:pt>
                <c:pt idx="4">
                  <c:v>4</c:v>
                </c:pt>
              </c:numCache>
            </c:numRef>
          </c:xVal>
          <c:yVal>
            <c:numRef>
              <c:f>'#15 Wind const + non linear'!$L$15:$L$19</c:f>
              <c:numCache>
                <c:formatCode>General</c:formatCode>
                <c:ptCount val="5"/>
                <c:pt idx="0">
                  <c:v>0</c:v>
                </c:pt>
                <c:pt idx="1">
                  <c:v>0</c:v>
                </c:pt>
                <c:pt idx="2">
                  <c:v>0</c:v>
                </c:pt>
                <c:pt idx="3">
                  <c:v>1200</c:v>
                </c:pt>
                <c:pt idx="4">
                  <c:v>3600</c:v>
                </c:pt>
              </c:numCache>
            </c:numRef>
          </c:yVal>
          <c:smooth val="0"/>
          <c:extLst>
            <c:ext xmlns:c16="http://schemas.microsoft.com/office/drawing/2014/chart" uri="{C3380CC4-5D6E-409C-BE32-E72D297353CC}">
              <c16:uniqueId val="{00000000-C984-42DE-AD18-022828171030}"/>
            </c:ext>
          </c:extLst>
        </c:ser>
        <c:dLbls>
          <c:showLegendKey val="0"/>
          <c:showVal val="0"/>
          <c:showCatName val="0"/>
          <c:showSerName val="0"/>
          <c:showPercent val="0"/>
          <c:showBubbleSize val="0"/>
        </c:dLbls>
        <c:axId val="1815710272"/>
        <c:axId val="1815706944"/>
      </c:scatterChart>
      <c:valAx>
        <c:axId val="18157102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connected synchronous units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5706944"/>
        <c:crosses val="autoZero"/>
        <c:crossBetween val="midCat"/>
      </c:valAx>
      <c:valAx>
        <c:axId val="1815706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Maximum amount of wind generation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5710272"/>
        <c:crosses val="autoZero"/>
        <c:crossBetween val="midCat"/>
        <c:majorUnit val="6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'#17 Pricing NL + rounded up'!$L$14</c:f>
              <c:strCache>
                <c:ptCount val="1"/>
                <c:pt idx="0">
                  <c:v>Wind upper limit</c:v>
                </c:pt>
              </c:strCache>
            </c:strRef>
          </c:tx>
          <c:spPr>
            <a:ln w="19050" cap="rnd">
              <a:solidFill>
                <a:schemeClr val="accent1"/>
              </a:solidFill>
              <a:round/>
            </a:ln>
            <a:effectLst/>
          </c:spPr>
          <c:marker>
            <c:symbol val="none"/>
          </c:marker>
          <c:xVal>
            <c:numRef>
              <c:f>'#17 Pricing NL + rounded up'!$K$15:$K$19</c:f>
              <c:numCache>
                <c:formatCode>General</c:formatCode>
                <c:ptCount val="5"/>
                <c:pt idx="0">
                  <c:v>0</c:v>
                </c:pt>
                <c:pt idx="1">
                  <c:v>1</c:v>
                </c:pt>
                <c:pt idx="2">
                  <c:v>2</c:v>
                </c:pt>
                <c:pt idx="3">
                  <c:v>3</c:v>
                </c:pt>
                <c:pt idx="4">
                  <c:v>4</c:v>
                </c:pt>
              </c:numCache>
            </c:numRef>
          </c:xVal>
          <c:yVal>
            <c:numRef>
              <c:f>'#17 Pricing NL + rounded up'!$L$15:$L$19</c:f>
              <c:numCache>
                <c:formatCode>General</c:formatCode>
                <c:ptCount val="5"/>
                <c:pt idx="0">
                  <c:v>0</c:v>
                </c:pt>
                <c:pt idx="1">
                  <c:v>0</c:v>
                </c:pt>
                <c:pt idx="2">
                  <c:v>0</c:v>
                </c:pt>
                <c:pt idx="3">
                  <c:v>1200</c:v>
                </c:pt>
                <c:pt idx="4">
                  <c:v>3600</c:v>
                </c:pt>
              </c:numCache>
            </c:numRef>
          </c:yVal>
          <c:smooth val="0"/>
          <c:extLst>
            <c:ext xmlns:c16="http://schemas.microsoft.com/office/drawing/2014/chart" uri="{C3380CC4-5D6E-409C-BE32-E72D297353CC}">
              <c16:uniqueId val="{00000000-B842-4E6E-9F8E-C4A2C236C07D}"/>
            </c:ext>
          </c:extLst>
        </c:ser>
        <c:dLbls>
          <c:showLegendKey val="0"/>
          <c:showVal val="0"/>
          <c:showCatName val="0"/>
          <c:showSerName val="0"/>
          <c:showPercent val="0"/>
          <c:showBubbleSize val="0"/>
        </c:dLbls>
        <c:axId val="1815710272"/>
        <c:axId val="1815706944"/>
      </c:scatterChart>
      <c:valAx>
        <c:axId val="181571027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connected synchronous units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5706944"/>
        <c:crosses val="autoZero"/>
        <c:crossBetween val="midCat"/>
      </c:valAx>
      <c:valAx>
        <c:axId val="1815706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Maximum wind generation (MW)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5710272"/>
        <c:crosses val="autoZero"/>
        <c:crossBetween val="midCat"/>
        <c:majorUnit val="60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xdr:colOff>
      <xdr:row>25</xdr:row>
      <xdr:rowOff>68580</xdr:rowOff>
    </xdr:from>
    <xdr:to>
      <xdr:col>15</xdr:col>
      <xdr:colOff>687070</xdr:colOff>
      <xdr:row>40</xdr:row>
      <xdr:rowOff>50800</xdr:rowOff>
    </xdr:to>
    <xdr:graphicFrame macro="">
      <xdr:nvGraphicFramePr>
        <xdr:cNvPr id="2" name="Chart 1">
          <a:extLst>
            <a:ext uri="{FF2B5EF4-FFF2-40B4-BE49-F238E27FC236}">
              <a16:creationId xmlns:a16="http://schemas.microsoft.com/office/drawing/2014/main" id="{58BB3362-C315-4F86-A01D-A074F63D3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xdr:colOff>
      <xdr:row>28</xdr:row>
      <xdr:rowOff>26670</xdr:rowOff>
    </xdr:from>
    <xdr:to>
      <xdr:col>15</xdr:col>
      <xdr:colOff>682625</xdr:colOff>
      <xdr:row>43</xdr:row>
      <xdr:rowOff>7620</xdr:rowOff>
    </xdr:to>
    <xdr:graphicFrame macro="">
      <xdr:nvGraphicFramePr>
        <xdr:cNvPr id="2" name="Chart 1">
          <a:extLst>
            <a:ext uri="{FF2B5EF4-FFF2-40B4-BE49-F238E27FC236}">
              <a16:creationId xmlns:a16="http://schemas.microsoft.com/office/drawing/2014/main" id="{EFA5015A-D04E-46FC-9D3B-E0AD5589B9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2"/>
  <sheetViews>
    <sheetView tabSelected="1" workbookViewId="0">
      <selection activeCell="P33" sqref="P33"/>
    </sheetView>
  </sheetViews>
  <sheetFormatPr defaultRowHeight="14.5" x14ac:dyDescent="0.35"/>
  <cols>
    <col min="3" max="3" width="20.453125" customWidth="1"/>
    <col min="4" max="4" width="23.36328125" customWidth="1"/>
    <col min="5" max="5" width="14.81640625" customWidth="1"/>
    <col min="6" max="6" width="19.453125" customWidth="1"/>
    <col min="7" max="7" width="17.08984375" customWidth="1"/>
    <col min="8" max="8" width="20.36328125" customWidth="1"/>
    <col min="9" max="10" width="17.6328125" customWidth="1"/>
  </cols>
  <sheetData>
    <row r="1" spans="3:12" x14ac:dyDescent="0.35">
      <c r="D1" t="s">
        <v>50</v>
      </c>
    </row>
    <row r="2" spans="3:12" x14ac:dyDescent="0.35">
      <c r="C2" s="1" t="s">
        <v>0</v>
      </c>
    </row>
    <row r="3" spans="3:12" x14ac:dyDescent="0.35">
      <c r="C3" s="2">
        <v>300</v>
      </c>
    </row>
    <row r="5" spans="3:12" x14ac:dyDescent="0.35">
      <c r="C5" s="1"/>
      <c r="D5" s="1" t="s">
        <v>4</v>
      </c>
      <c r="E5" s="1" t="s">
        <v>9</v>
      </c>
      <c r="F5" s="1" t="s">
        <v>5</v>
      </c>
      <c r="G5" s="1" t="s">
        <v>6</v>
      </c>
      <c r="H5" s="1" t="s">
        <v>10</v>
      </c>
      <c r="I5" s="1" t="s">
        <v>13</v>
      </c>
      <c r="J5" s="1" t="s">
        <v>28</v>
      </c>
      <c r="K5" s="1" t="s">
        <v>7</v>
      </c>
      <c r="L5" s="1" t="s">
        <v>8</v>
      </c>
    </row>
    <row r="6" spans="3:12" x14ac:dyDescent="0.35">
      <c r="C6" s="1" t="s">
        <v>3</v>
      </c>
      <c r="D6" s="2">
        <v>160</v>
      </c>
      <c r="E6" s="2">
        <v>0</v>
      </c>
      <c r="F6" s="2">
        <v>0</v>
      </c>
      <c r="G6" s="2">
        <v>1</v>
      </c>
      <c r="H6" s="2">
        <v>0</v>
      </c>
      <c r="I6" s="7">
        <f>G6*E6</f>
        <v>0</v>
      </c>
      <c r="J6" s="7">
        <f>G6*D6</f>
        <v>160</v>
      </c>
      <c r="K6" s="3">
        <v>140</v>
      </c>
      <c r="L6" s="5">
        <f>F6*K6+G6*H6</f>
        <v>0</v>
      </c>
    </row>
    <row r="7" spans="3:12" x14ac:dyDescent="0.35">
      <c r="C7" s="1" t="s">
        <v>1</v>
      </c>
      <c r="D7" s="2">
        <v>200</v>
      </c>
      <c r="E7" s="2">
        <v>0</v>
      </c>
      <c r="F7" s="2">
        <v>100</v>
      </c>
      <c r="G7" s="2">
        <v>1</v>
      </c>
      <c r="H7" s="2">
        <v>0</v>
      </c>
      <c r="I7" s="7">
        <f t="shared" ref="I7:I8" si="0">G7*E7</f>
        <v>0</v>
      </c>
      <c r="J7" s="7">
        <f t="shared" ref="J7:J8" si="1">G7*D7</f>
        <v>200</v>
      </c>
      <c r="K7" s="3">
        <v>150</v>
      </c>
      <c r="L7" s="5">
        <f t="shared" ref="L7:L8" si="2">F7*K7+G7*H7</f>
        <v>15000</v>
      </c>
    </row>
    <row r="8" spans="3:12" x14ac:dyDescent="0.35">
      <c r="C8" s="1" t="s">
        <v>2</v>
      </c>
      <c r="D8" s="2">
        <v>100</v>
      </c>
      <c r="E8" s="2">
        <v>10</v>
      </c>
      <c r="F8" s="2">
        <v>150</v>
      </c>
      <c r="G8" s="4">
        <v>1</v>
      </c>
      <c r="H8" s="2">
        <v>50</v>
      </c>
      <c r="I8" s="7">
        <f t="shared" si="0"/>
        <v>10</v>
      </c>
      <c r="J8" s="7">
        <f t="shared" si="1"/>
        <v>100</v>
      </c>
      <c r="K8" s="3">
        <v>10</v>
      </c>
      <c r="L8" s="5">
        <f t="shared" si="2"/>
        <v>1550</v>
      </c>
    </row>
    <row r="9" spans="3:12" x14ac:dyDescent="0.35">
      <c r="C9" s="1"/>
      <c r="D9" s="1"/>
      <c r="E9" s="1"/>
      <c r="F9" s="1"/>
      <c r="G9" s="1"/>
      <c r="H9" s="1" t="s">
        <v>11</v>
      </c>
      <c r="I9" s="1"/>
      <c r="J9" s="1"/>
      <c r="K9" s="5">
        <f>SUM(K6:K8)</f>
        <v>300</v>
      </c>
      <c r="L9" s="6">
        <f>SUM(L6:L8)</f>
        <v>16550</v>
      </c>
    </row>
    <row r="11" spans="3:12" x14ac:dyDescent="0.35">
      <c r="C11" s="1" t="s">
        <v>124</v>
      </c>
      <c r="D11" s="1" t="s">
        <v>70</v>
      </c>
      <c r="E11" s="1" t="s">
        <v>71</v>
      </c>
      <c r="F11" s="1" t="s">
        <v>125</v>
      </c>
    </row>
    <row r="12" spans="3:12" x14ac:dyDescent="0.35">
      <c r="C12" s="5">
        <f>K6</f>
        <v>140</v>
      </c>
      <c r="D12" s="2">
        <v>120</v>
      </c>
      <c r="E12" s="2">
        <v>20</v>
      </c>
      <c r="F12" s="7">
        <f>D12+G8*E12</f>
        <v>140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topLeftCell="A3" workbookViewId="0">
      <selection activeCell="E24" sqref="E24"/>
    </sheetView>
  </sheetViews>
  <sheetFormatPr defaultRowHeight="14.5" x14ac:dyDescent="0.35"/>
  <cols>
    <col min="1" max="1" width="2.36328125" customWidth="1"/>
    <col min="2" max="2" width="6.08984375" bestFit="1" customWidth="1"/>
    <col min="3" max="3" width="19" bestFit="1" customWidth="1"/>
    <col min="4" max="4" width="5.81640625" bestFit="1" customWidth="1"/>
    <col min="5" max="5" width="8.36328125" bestFit="1" customWidth="1"/>
    <col min="6" max="6" width="10.08984375" bestFit="1" customWidth="1"/>
    <col min="7" max="7" width="9.1796875" bestFit="1" customWidth="1"/>
    <col min="8" max="8" width="12" bestFit="1" customWidth="1"/>
  </cols>
  <sheetData>
    <row r="1" spans="1:8" x14ac:dyDescent="0.35">
      <c r="A1" s="8" t="s">
        <v>14</v>
      </c>
    </row>
    <row r="2" spans="1:8" x14ac:dyDescent="0.35">
      <c r="A2" s="8" t="s">
        <v>126</v>
      </c>
    </row>
    <row r="3" spans="1:8" x14ac:dyDescent="0.35">
      <c r="A3" s="8" t="s">
        <v>128</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22</v>
      </c>
      <c r="C9" s="9" t="s">
        <v>23</v>
      </c>
      <c r="D9" s="9">
        <v>1</v>
      </c>
      <c r="E9" s="20">
        <v>-1450</v>
      </c>
      <c r="F9" s="9">
        <v>50</v>
      </c>
      <c r="G9" s="9">
        <v>1450</v>
      </c>
      <c r="H9" s="9">
        <v>1E+30</v>
      </c>
    </row>
    <row r="10" spans="1:8" x14ac:dyDescent="0.35">
      <c r="B10" s="9" t="s">
        <v>37</v>
      </c>
      <c r="C10" s="9" t="s">
        <v>24</v>
      </c>
      <c r="D10" s="9">
        <v>140</v>
      </c>
      <c r="E10" s="9">
        <v>0</v>
      </c>
      <c r="F10" s="9">
        <v>0</v>
      </c>
      <c r="G10" s="9">
        <v>72.5</v>
      </c>
      <c r="H10" s="9">
        <v>1E+30</v>
      </c>
    </row>
    <row r="11" spans="1:8" x14ac:dyDescent="0.35">
      <c r="B11" s="9" t="s">
        <v>38</v>
      </c>
      <c r="C11" s="9" t="s">
        <v>25</v>
      </c>
      <c r="D11" s="9">
        <v>150</v>
      </c>
      <c r="E11" s="9">
        <v>0</v>
      </c>
      <c r="F11" s="9">
        <v>100</v>
      </c>
      <c r="G11" s="9">
        <v>50</v>
      </c>
      <c r="H11" s="9">
        <v>48.333333333333336</v>
      </c>
    </row>
    <row r="12" spans="1:8" ht="15" thickBot="1" x14ac:dyDescent="0.4">
      <c r="B12" s="10" t="s">
        <v>39</v>
      </c>
      <c r="C12" s="10" t="s">
        <v>26</v>
      </c>
      <c r="D12" s="10">
        <v>10</v>
      </c>
      <c r="E12" s="10">
        <v>0</v>
      </c>
      <c r="F12" s="10">
        <v>150</v>
      </c>
      <c r="G12" s="10">
        <v>145</v>
      </c>
      <c r="H12" s="10">
        <v>50</v>
      </c>
    </row>
    <row r="14" spans="1:8" ht="15" thickBot="1" x14ac:dyDescent="0.4">
      <c r="A14" t="s">
        <v>21</v>
      </c>
    </row>
    <row r="15" spans="1:8" x14ac:dyDescent="0.35">
      <c r="B15" s="41"/>
      <c r="C15" s="41"/>
      <c r="D15" s="41" t="s">
        <v>18</v>
      </c>
      <c r="E15" s="41" t="s">
        <v>34</v>
      </c>
      <c r="F15" s="41" t="s">
        <v>35</v>
      </c>
      <c r="G15" s="41" t="s">
        <v>31</v>
      </c>
      <c r="H15" s="41" t="s">
        <v>31</v>
      </c>
    </row>
    <row r="16" spans="1:8" ht="15" thickBot="1" x14ac:dyDescent="0.4">
      <c r="B16" s="42" t="s">
        <v>16</v>
      </c>
      <c r="C16" s="42" t="s">
        <v>17</v>
      </c>
      <c r="D16" s="42" t="s">
        <v>19</v>
      </c>
      <c r="E16" s="42" t="s">
        <v>5</v>
      </c>
      <c r="F16" s="42" t="s">
        <v>36</v>
      </c>
      <c r="G16" s="42" t="s">
        <v>32</v>
      </c>
      <c r="H16" s="42" t="s">
        <v>33</v>
      </c>
    </row>
    <row r="17" spans="2:8" x14ac:dyDescent="0.35">
      <c r="B17" s="9" t="s">
        <v>127</v>
      </c>
      <c r="C17" s="9" t="s">
        <v>124</v>
      </c>
      <c r="D17" s="9">
        <v>140</v>
      </c>
      <c r="E17" s="20">
        <v>-100</v>
      </c>
      <c r="F17" s="9">
        <v>0</v>
      </c>
      <c r="G17" s="9">
        <v>20</v>
      </c>
      <c r="H17" s="9">
        <v>50</v>
      </c>
    </row>
    <row r="18" spans="2:8" x14ac:dyDescent="0.35">
      <c r="B18" s="9" t="s">
        <v>37</v>
      </c>
      <c r="C18" s="9" t="s">
        <v>24</v>
      </c>
      <c r="D18" s="9">
        <v>140</v>
      </c>
      <c r="E18" s="9">
        <v>0</v>
      </c>
      <c r="F18" s="9">
        <v>0</v>
      </c>
      <c r="G18" s="9">
        <v>1E+30</v>
      </c>
      <c r="H18" s="9">
        <v>20</v>
      </c>
    </row>
    <row r="19" spans="2:8" x14ac:dyDescent="0.35">
      <c r="B19" s="9" t="s">
        <v>38</v>
      </c>
      <c r="C19" s="9" t="s">
        <v>25</v>
      </c>
      <c r="D19" s="9">
        <v>150</v>
      </c>
      <c r="E19" s="9">
        <v>0</v>
      </c>
      <c r="F19" s="9">
        <v>0</v>
      </c>
      <c r="G19" s="9">
        <v>1E+30</v>
      </c>
      <c r="H19" s="9">
        <v>50</v>
      </c>
    </row>
    <row r="20" spans="2:8" x14ac:dyDescent="0.35">
      <c r="B20" s="9" t="s">
        <v>39</v>
      </c>
      <c r="C20" s="9" t="s">
        <v>26</v>
      </c>
      <c r="D20" s="9">
        <v>10</v>
      </c>
      <c r="E20" s="9">
        <v>0</v>
      </c>
      <c r="F20" s="9">
        <v>0</v>
      </c>
      <c r="G20" s="9">
        <v>1E+30</v>
      </c>
      <c r="H20" s="9">
        <v>90</v>
      </c>
    </row>
    <row r="21" spans="2:8" x14ac:dyDescent="0.35">
      <c r="B21" s="9" t="s">
        <v>37</v>
      </c>
      <c r="C21" s="9" t="s">
        <v>24</v>
      </c>
      <c r="D21" s="9">
        <v>140</v>
      </c>
      <c r="E21" s="9">
        <v>0</v>
      </c>
      <c r="F21" s="9">
        <v>0</v>
      </c>
      <c r="G21" s="9">
        <v>140</v>
      </c>
      <c r="H21" s="9">
        <v>1E+30</v>
      </c>
    </row>
    <row r="22" spans="2:8" x14ac:dyDescent="0.35">
      <c r="B22" s="9" t="s">
        <v>38</v>
      </c>
      <c r="C22" s="9" t="s">
        <v>25</v>
      </c>
      <c r="D22" s="9">
        <v>150</v>
      </c>
      <c r="E22" s="9">
        <v>0</v>
      </c>
      <c r="F22" s="9">
        <v>0</v>
      </c>
      <c r="G22" s="9">
        <v>150</v>
      </c>
      <c r="H22" s="9">
        <v>1E+30</v>
      </c>
    </row>
    <row r="23" spans="2:8" x14ac:dyDescent="0.35">
      <c r="B23" s="9" t="s">
        <v>39</v>
      </c>
      <c r="C23" s="9" t="s">
        <v>26</v>
      </c>
      <c r="D23" s="9">
        <v>10</v>
      </c>
      <c r="E23" s="9">
        <v>50</v>
      </c>
      <c r="F23" s="9">
        <v>0</v>
      </c>
      <c r="G23" s="9">
        <v>90</v>
      </c>
      <c r="H23" s="9">
        <v>10</v>
      </c>
    </row>
    <row r="24" spans="2:8" ht="15" thickBot="1" x14ac:dyDescent="0.4">
      <c r="B24" s="10" t="s">
        <v>27</v>
      </c>
      <c r="C24" s="10" t="s">
        <v>40</v>
      </c>
      <c r="D24" s="10">
        <v>300</v>
      </c>
      <c r="E24" s="24">
        <v>100</v>
      </c>
      <c r="F24" s="10">
        <v>300</v>
      </c>
      <c r="G24" s="10">
        <v>50</v>
      </c>
      <c r="H24" s="10">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2"/>
  <sheetViews>
    <sheetView workbookViewId="0">
      <selection activeCell="C11" sqref="C11:H12"/>
    </sheetView>
  </sheetViews>
  <sheetFormatPr defaultRowHeight="14.5" x14ac:dyDescent="0.35"/>
  <cols>
    <col min="3" max="3" width="13.81640625" customWidth="1"/>
    <col min="4" max="4" width="16" customWidth="1"/>
    <col min="5" max="5" width="12" customWidth="1"/>
    <col min="6" max="6" width="9.90625" customWidth="1"/>
    <col min="7" max="7" width="12.6328125" customWidth="1"/>
    <col min="8" max="8" width="15.08984375" customWidth="1"/>
    <col min="9" max="9" width="9.36328125" customWidth="1"/>
    <col min="10" max="10" width="9.90625" customWidth="1"/>
    <col min="18" max="18" width="14.1796875" customWidth="1"/>
  </cols>
  <sheetData>
    <row r="1" spans="3:18" x14ac:dyDescent="0.35">
      <c r="F1" t="s">
        <v>51</v>
      </c>
    </row>
    <row r="2" spans="3:18" x14ac:dyDescent="0.35">
      <c r="C2" s="1" t="s">
        <v>0</v>
      </c>
      <c r="D2" s="1" t="s">
        <v>43</v>
      </c>
    </row>
    <row r="3" spans="3:18" x14ac:dyDescent="0.35">
      <c r="C3" s="2">
        <v>300</v>
      </c>
      <c r="D3" s="12">
        <f>'#2 Sensitivity Report'!E24</f>
        <v>100</v>
      </c>
    </row>
    <row r="5" spans="3:18" s="33" customFormat="1" ht="43.5"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c r="R5" s="32" t="s">
        <v>91</v>
      </c>
    </row>
    <row r="6" spans="3:18" x14ac:dyDescent="0.35">
      <c r="C6" s="1" t="s">
        <v>3</v>
      </c>
      <c r="D6" s="2">
        <v>160</v>
      </c>
      <c r="E6" s="2">
        <v>0</v>
      </c>
      <c r="F6" s="2">
        <v>0</v>
      </c>
      <c r="G6" s="2">
        <v>1</v>
      </c>
      <c r="H6" s="2">
        <v>0</v>
      </c>
      <c r="I6" s="7">
        <f>G6*E6</f>
        <v>0</v>
      </c>
      <c r="J6" s="7">
        <f>G6*D6</f>
        <v>160</v>
      </c>
      <c r="K6" s="3">
        <v>140</v>
      </c>
      <c r="L6" s="5">
        <f>F6*K6+G6*H6</f>
        <v>0</v>
      </c>
      <c r="M6" s="5">
        <f>K6*$D$3</f>
        <v>14000</v>
      </c>
      <c r="N6" s="2">
        <f>0</f>
        <v>0</v>
      </c>
      <c r="O6" s="5">
        <f>M6+N6</f>
        <v>14000</v>
      </c>
      <c r="P6" s="5"/>
      <c r="Q6" s="7"/>
      <c r="R6" s="18"/>
    </row>
    <row r="7" spans="3:18" x14ac:dyDescent="0.35">
      <c r="C7" s="1" t="s">
        <v>1</v>
      </c>
      <c r="D7" s="2">
        <v>200</v>
      </c>
      <c r="E7" s="2">
        <v>0</v>
      </c>
      <c r="F7" s="2">
        <v>100</v>
      </c>
      <c r="G7" s="2">
        <v>1</v>
      </c>
      <c r="H7" s="2">
        <v>0</v>
      </c>
      <c r="I7" s="7">
        <f t="shared" ref="I7:I8" si="0">G7*E7</f>
        <v>0</v>
      </c>
      <c r="J7" s="7">
        <f t="shared" ref="J7:J8" si="1">G7*D7</f>
        <v>200</v>
      </c>
      <c r="K7" s="3">
        <v>150</v>
      </c>
      <c r="L7" s="5">
        <f t="shared" ref="L7:L8" si="2">F7*K7+G7*H7</f>
        <v>15000</v>
      </c>
      <c r="M7" s="5">
        <f t="shared" ref="M7:M8" si="3">K7*$D$3</f>
        <v>15000</v>
      </c>
      <c r="N7" s="2">
        <f>0</f>
        <v>0</v>
      </c>
      <c r="O7" s="5">
        <f>M7+N7</f>
        <v>15000</v>
      </c>
      <c r="P7" s="5">
        <f>L7</f>
        <v>15000</v>
      </c>
      <c r="Q7" s="7">
        <f>O7-P7</f>
        <v>0</v>
      </c>
      <c r="R7" s="18"/>
    </row>
    <row r="8" spans="3:18" x14ac:dyDescent="0.35">
      <c r="C8" s="1" t="s">
        <v>2</v>
      </c>
      <c r="D8" s="2">
        <v>100</v>
      </c>
      <c r="E8" s="2">
        <v>10</v>
      </c>
      <c r="F8" s="2">
        <v>150</v>
      </c>
      <c r="G8" s="4">
        <v>1</v>
      </c>
      <c r="H8" s="2">
        <v>50</v>
      </c>
      <c r="I8" s="7">
        <f t="shared" si="0"/>
        <v>10</v>
      </c>
      <c r="J8" s="7">
        <f t="shared" si="1"/>
        <v>100</v>
      </c>
      <c r="K8" s="3">
        <v>10</v>
      </c>
      <c r="L8" s="5">
        <f t="shared" si="2"/>
        <v>1550</v>
      </c>
      <c r="M8" s="5">
        <f t="shared" si="3"/>
        <v>1000</v>
      </c>
      <c r="N8" s="7">
        <f>G8*$H$12</f>
        <v>2000</v>
      </c>
      <c r="O8" s="5">
        <f>M8+N8</f>
        <v>3000</v>
      </c>
      <c r="P8" s="5">
        <f>L8</f>
        <v>1550</v>
      </c>
      <c r="Q8" s="7">
        <f>O8-P8</f>
        <v>1450</v>
      </c>
      <c r="R8" s="18">
        <f>-'#2 Sensitivity Report'!E9</f>
        <v>1450</v>
      </c>
    </row>
    <row r="9" spans="3:18" x14ac:dyDescent="0.35">
      <c r="C9" s="1"/>
      <c r="D9" s="1"/>
      <c r="E9" s="1"/>
      <c r="F9" s="1"/>
      <c r="G9" s="1"/>
      <c r="H9" s="1" t="s">
        <v>11</v>
      </c>
      <c r="I9" s="1"/>
      <c r="J9" s="1"/>
      <c r="K9" s="5">
        <f>SUM(K6:K8)</f>
        <v>300</v>
      </c>
      <c r="L9" s="6">
        <f>SUM(L6:L8)</f>
        <v>16550</v>
      </c>
    </row>
    <row r="11" spans="3:18" ht="43.5" x14ac:dyDescent="0.35">
      <c r="C11" s="16" t="s">
        <v>124</v>
      </c>
      <c r="D11" s="16" t="s">
        <v>70</v>
      </c>
      <c r="E11" s="16" t="s">
        <v>71</v>
      </c>
      <c r="F11" s="16" t="s">
        <v>19</v>
      </c>
      <c r="G11" s="16" t="s">
        <v>74</v>
      </c>
      <c r="H11" s="16" t="s">
        <v>73</v>
      </c>
    </row>
    <row r="12" spans="3:18" x14ac:dyDescent="0.35">
      <c r="C12" s="5">
        <f>K6</f>
        <v>140</v>
      </c>
      <c r="D12" s="2">
        <v>120</v>
      </c>
      <c r="E12" s="2">
        <v>20</v>
      </c>
      <c r="F12" s="7">
        <f>D12+G8*E12</f>
        <v>140</v>
      </c>
      <c r="G12" s="12">
        <f>'#2 Sensitivity Report'!E17</f>
        <v>-100</v>
      </c>
      <c r="H12" s="7">
        <f>-E12*G12</f>
        <v>2000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E17" sqref="E17"/>
    </sheetView>
  </sheetViews>
  <sheetFormatPr defaultRowHeight="14.5" x14ac:dyDescent="0.35"/>
  <cols>
    <col min="1" max="1" width="2.36328125" customWidth="1"/>
    <col min="2" max="2" width="6.08984375" bestFit="1" customWidth="1"/>
    <col min="3" max="3" width="15.1796875" bestFit="1" customWidth="1"/>
    <col min="4" max="4" width="5.81640625" bestFit="1" customWidth="1"/>
    <col min="5" max="5" width="8.36328125" bestFit="1" customWidth="1"/>
    <col min="6" max="6" width="10.08984375" bestFit="1" customWidth="1"/>
    <col min="7" max="8" width="9.1796875" bestFit="1" customWidth="1"/>
  </cols>
  <sheetData>
    <row r="1" spans="1:8" x14ac:dyDescent="0.35">
      <c r="A1" s="8" t="s">
        <v>14</v>
      </c>
    </row>
    <row r="2" spans="1:8" x14ac:dyDescent="0.35">
      <c r="A2" s="8" t="s">
        <v>129</v>
      </c>
    </row>
    <row r="3" spans="1:8" x14ac:dyDescent="0.35">
      <c r="A3" s="8" t="s">
        <v>130</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37</v>
      </c>
      <c r="C9" s="9" t="s">
        <v>24</v>
      </c>
      <c r="D9" s="9">
        <v>140</v>
      </c>
      <c r="E9" s="9">
        <v>0</v>
      </c>
      <c r="F9" s="9">
        <v>0</v>
      </c>
      <c r="G9" s="9">
        <v>100</v>
      </c>
      <c r="H9" s="9">
        <v>1E+30</v>
      </c>
    </row>
    <row r="10" spans="1:8" x14ac:dyDescent="0.35">
      <c r="B10" s="9" t="s">
        <v>38</v>
      </c>
      <c r="C10" s="9" t="s">
        <v>25</v>
      </c>
      <c r="D10" s="9">
        <v>150</v>
      </c>
      <c r="E10" s="9">
        <v>0</v>
      </c>
      <c r="F10" s="9">
        <v>100</v>
      </c>
      <c r="G10" s="9">
        <v>50</v>
      </c>
      <c r="H10" s="9">
        <v>100</v>
      </c>
    </row>
    <row r="11" spans="1:8" ht="15" thickBot="1" x14ac:dyDescent="0.4">
      <c r="B11" s="10" t="s">
        <v>39</v>
      </c>
      <c r="C11" s="10" t="s">
        <v>26</v>
      </c>
      <c r="D11" s="10">
        <v>10</v>
      </c>
      <c r="E11" s="10">
        <v>50</v>
      </c>
      <c r="F11" s="10">
        <v>150</v>
      </c>
      <c r="G11" s="10">
        <v>1E+30</v>
      </c>
      <c r="H11" s="10">
        <v>50</v>
      </c>
    </row>
    <row r="13" spans="1:8" ht="15" thickBot="1" x14ac:dyDescent="0.4">
      <c r="A13" t="s">
        <v>21</v>
      </c>
    </row>
    <row r="14" spans="1:8" x14ac:dyDescent="0.35">
      <c r="B14" s="41"/>
      <c r="C14" s="41"/>
      <c r="D14" s="41" t="s">
        <v>18</v>
      </c>
      <c r="E14" s="41" t="s">
        <v>34</v>
      </c>
      <c r="F14" s="41" t="s">
        <v>35</v>
      </c>
      <c r="G14" s="41" t="s">
        <v>31</v>
      </c>
      <c r="H14" s="41" t="s">
        <v>31</v>
      </c>
    </row>
    <row r="15" spans="1:8" ht="15" thickBot="1" x14ac:dyDescent="0.4">
      <c r="B15" s="42" t="s">
        <v>16</v>
      </c>
      <c r="C15" s="42" t="s">
        <v>17</v>
      </c>
      <c r="D15" s="42" t="s">
        <v>19</v>
      </c>
      <c r="E15" s="42" t="s">
        <v>5</v>
      </c>
      <c r="F15" s="42" t="s">
        <v>36</v>
      </c>
      <c r="G15" s="42" t="s">
        <v>32</v>
      </c>
      <c r="H15" s="42" t="s">
        <v>33</v>
      </c>
    </row>
    <row r="16" spans="1:8" x14ac:dyDescent="0.35">
      <c r="B16" s="9" t="s">
        <v>127</v>
      </c>
      <c r="C16" s="9" t="s">
        <v>124</v>
      </c>
      <c r="D16" s="9">
        <v>140</v>
      </c>
      <c r="E16" s="20">
        <v>-100</v>
      </c>
      <c r="F16" s="9">
        <v>140</v>
      </c>
      <c r="G16" s="9">
        <v>20</v>
      </c>
      <c r="H16" s="9">
        <v>50</v>
      </c>
    </row>
    <row r="17" spans="2:8" ht="15" thickBot="1" x14ac:dyDescent="0.4">
      <c r="B17" s="10" t="s">
        <v>27</v>
      </c>
      <c r="C17" s="10" t="s">
        <v>40</v>
      </c>
      <c r="D17" s="10">
        <v>300</v>
      </c>
      <c r="E17" s="24">
        <v>100</v>
      </c>
      <c r="F17" s="10">
        <v>300</v>
      </c>
      <c r="G17" s="10">
        <v>50</v>
      </c>
      <c r="H17" s="10">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Q12"/>
  <sheetViews>
    <sheetView topLeftCell="B1" workbookViewId="0">
      <selection activeCell="C11" sqref="C11:C12"/>
    </sheetView>
  </sheetViews>
  <sheetFormatPr defaultRowHeight="14.5" x14ac:dyDescent="0.35"/>
  <cols>
    <col min="3" max="3" width="13.81640625" customWidth="1"/>
    <col min="4" max="4" width="16.453125" customWidth="1"/>
    <col min="5" max="5" width="11.36328125" customWidth="1"/>
    <col min="7" max="7" width="11.81640625" customWidth="1"/>
    <col min="8" max="8" width="12.08984375" customWidth="1"/>
    <col min="9" max="9" width="10.81640625" customWidth="1"/>
    <col min="10" max="10" width="10" customWidth="1"/>
    <col min="17" max="17" width="10.90625" customWidth="1"/>
  </cols>
  <sheetData>
    <row r="1" spans="3:17" x14ac:dyDescent="0.35">
      <c r="D1" t="s">
        <v>52</v>
      </c>
    </row>
    <row r="2" spans="3:17" x14ac:dyDescent="0.35">
      <c r="C2" s="1" t="s">
        <v>0</v>
      </c>
      <c r="D2" s="1" t="s">
        <v>43</v>
      </c>
    </row>
    <row r="3" spans="3:17" x14ac:dyDescent="0.35">
      <c r="C3" s="2">
        <v>300</v>
      </c>
      <c r="D3" s="12">
        <f>'#3 Sensitivity Report'!E17</f>
        <v>100</v>
      </c>
    </row>
    <row r="5" spans="3:17" ht="29"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row>
    <row r="6" spans="3:17" x14ac:dyDescent="0.35">
      <c r="C6" s="1" t="s">
        <v>3</v>
      </c>
      <c r="D6" s="11">
        <f>'#1 SSG optimisation binary'!D6</f>
        <v>160</v>
      </c>
      <c r="E6" s="11">
        <f>'#1 SSG optimisation binary'!E6</f>
        <v>0</v>
      </c>
      <c r="F6" s="11">
        <f>'#1 SSG optimisation binary'!F6</f>
        <v>0</v>
      </c>
      <c r="G6" s="11">
        <f>'#1 SSG optimisation binary'!G6</f>
        <v>1</v>
      </c>
      <c r="H6" s="11">
        <f>'#1 SSG optimisation binary'!H6</f>
        <v>0</v>
      </c>
      <c r="I6" s="11">
        <f>'#1 SSG optimisation binary'!I6</f>
        <v>0</v>
      </c>
      <c r="J6" s="11">
        <f>'#1 SSG optimisation binary'!J6</f>
        <v>160</v>
      </c>
      <c r="K6" s="3">
        <v>140</v>
      </c>
      <c r="L6" s="5">
        <f>F6*K6+G6*H6</f>
        <v>0</v>
      </c>
      <c r="M6" s="5">
        <f>K6*$D$3</f>
        <v>14000</v>
      </c>
      <c r="N6" s="2">
        <f>0</f>
        <v>0</v>
      </c>
      <c r="O6" s="5">
        <f>M6+N6</f>
        <v>14000</v>
      </c>
      <c r="P6" s="5"/>
      <c r="Q6" s="7"/>
    </row>
    <row r="7" spans="3:17" x14ac:dyDescent="0.35">
      <c r="C7" s="1" t="s">
        <v>1</v>
      </c>
      <c r="D7" s="11">
        <f>'#1 SSG optimisation binary'!D7</f>
        <v>200</v>
      </c>
      <c r="E7" s="11">
        <f>'#1 SSG optimisation binary'!E7</f>
        <v>0</v>
      </c>
      <c r="F7" s="11">
        <f>'#1 SSG optimisation binary'!F7</f>
        <v>100</v>
      </c>
      <c r="G7" s="11">
        <f>'#1 SSG optimisation binary'!G7</f>
        <v>1</v>
      </c>
      <c r="H7" s="11">
        <f>'#1 SSG optimisation binary'!H7</f>
        <v>0</v>
      </c>
      <c r="I7" s="11">
        <f>'#1 SSG optimisation binary'!I7</f>
        <v>0</v>
      </c>
      <c r="J7" s="11">
        <f>'#1 SSG optimisation binary'!J7</f>
        <v>200</v>
      </c>
      <c r="K7" s="3">
        <v>150</v>
      </c>
      <c r="L7" s="5">
        <f t="shared" ref="L7:L8" si="0">F7*K7+G7*H7</f>
        <v>15000</v>
      </c>
      <c r="M7" s="5">
        <f t="shared" ref="M7:M8" si="1">K7*$D$3</f>
        <v>15000</v>
      </c>
      <c r="N7" s="2">
        <f>0</f>
        <v>0</v>
      </c>
      <c r="O7" s="5">
        <f>M7+N7</f>
        <v>15000</v>
      </c>
      <c r="P7" s="5">
        <f t="shared" ref="P7:P8" si="2">K7*F7+G7*H7</f>
        <v>15000</v>
      </c>
      <c r="Q7" s="7">
        <f>O7-P7</f>
        <v>0</v>
      </c>
    </row>
    <row r="8" spans="3:17" x14ac:dyDescent="0.35">
      <c r="C8" s="1" t="s">
        <v>2</v>
      </c>
      <c r="D8" s="11">
        <f>'#1 SSG optimisation binary'!D8</f>
        <v>100</v>
      </c>
      <c r="E8" s="11">
        <f>'#1 SSG optimisation binary'!E8</f>
        <v>10</v>
      </c>
      <c r="F8" s="11">
        <f>'#1 SSG optimisation binary'!F8</f>
        <v>150</v>
      </c>
      <c r="G8" s="7">
        <f>'#1 SSG optimisation binary'!G8</f>
        <v>1</v>
      </c>
      <c r="H8" s="11">
        <f>'#1 SSG optimisation binary'!H8</f>
        <v>50</v>
      </c>
      <c r="I8" s="11">
        <f>'#1 SSG optimisation binary'!I8</f>
        <v>10</v>
      </c>
      <c r="J8" s="11">
        <f>'#1 SSG optimisation binary'!J8</f>
        <v>100</v>
      </c>
      <c r="K8" s="3">
        <v>10</v>
      </c>
      <c r="L8" s="5">
        <f t="shared" si="0"/>
        <v>1550</v>
      </c>
      <c r="M8" s="5">
        <f t="shared" si="1"/>
        <v>1000</v>
      </c>
      <c r="N8" s="7">
        <f>H12*G8</f>
        <v>2000</v>
      </c>
      <c r="O8" s="5">
        <f>M8+N8</f>
        <v>3000</v>
      </c>
      <c r="P8" s="5">
        <f t="shared" si="2"/>
        <v>1550</v>
      </c>
      <c r="Q8" s="7">
        <f>O8-P8</f>
        <v>1450</v>
      </c>
    </row>
    <row r="9" spans="3:17" x14ac:dyDescent="0.35">
      <c r="C9" s="1"/>
      <c r="D9" s="1"/>
      <c r="E9" s="1"/>
      <c r="F9" s="1"/>
      <c r="G9" s="1"/>
      <c r="H9" s="1" t="s">
        <v>11</v>
      </c>
      <c r="I9" s="1"/>
      <c r="J9" s="1"/>
      <c r="K9" s="5">
        <f>SUM(K6:K8)</f>
        <v>300</v>
      </c>
      <c r="L9" s="6">
        <f>SUM(L6:L8)</f>
        <v>16550</v>
      </c>
    </row>
    <row r="11" spans="3:17" ht="58" x14ac:dyDescent="0.35">
      <c r="C11" s="16" t="s">
        <v>124</v>
      </c>
      <c r="D11" s="1" t="s">
        <v>70</v>
      </c>
      <c r="E11" s="1" t="s">
        <v>71</v>
      </c>
      <c r="F11" s="1" t="s">
        <v>19</v>
      </c>
      <c r="G11" s="16" t="s">
        <v>74</v>
      </c>
      <c r="H11" s="16" t="s">
        <v>73</v>
      </c>
    </row>
    <row r="12" spans="3:17" x14ac:dyDescent="0.35">
      <c r="C12" s="5">
        <f>K6</f>
        <v>140</v>
      </c>
      <c r="D12" s="2">
        <v>100</v>
      </c>
      <c r="E12" s="2">
        <v>20</v>
      </c>
      <c r="F12" s="7">
        <f>2*(60+G8*10)</f>
        <v>140</v>
      </c>
      <c r="G12" s="12">
        <f>'#3 Sensitivity Report'!E16</f>
        <v>-100</v>
      </c>
      <c r="H12" s="7">
        <f>-E12*G12</f>
        <v>2000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opLeftCell="A7" workbookViewId="0">
      <selection activeCell="E9" sqref="E9:E10"/>
    </sheetView>
  </sheetViews>
  <sheetFormatPr defaultRowHeight="14.5" x14ac:dyDescent="0.35"/>
  <cols>
    <col min="1" max="1" width="2.36328125" customWidth="1"/>
    <col min="2" max="2" width="6.08984375" bestFit="1" customWidth="1"/>
    <col min="3" max="3" width="20.6328125" bestFit="1" customWidth="1"/>
    <col min="4" max="4" width="5.81640625" bestFit="1" customWidth="1"/>
    <col min="5" max="5" width="8.36328125" bestFit="1" customWidth="1"/>
    <col min="6" max="6" width="10.08984375" bestFit="1" customWidth="1"/>
    <col min="7" max="7" width="9.1796875" bestFit="1" customWidth="1"/>
    <col min="8" max="8" width="12" bestFit="1" customWidth="1"/>
  </cols>
  <sheetData>
    <row r="1" spans="1:8" x14ac:dyDescent="0.35">
      <c r="A1" s="8" t="s">
        <v>14</v>
      </c>
    </row>
    <row r="2" spans="1:8" x14ac:dyDescent="0.35">
      <c r="A2" s="8" t="s">
        <v>131</v>
      </c>
    </row>
    <row r="3" spans="1:8" x14ac:dyDescent="0.35">
      <c r="A3" s="8" t="s">
        <v>132</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-1919.999999999998</v>
      </c>
      <c r="F9" s="9">
        <v>80</v>
      </c>
      <c r="G9" s="9">
        <v>1919.999999999998</v>
      </c>
      <c r="H9" s="9">
        <v>1E+30</v>
      </c>
    </row>
    <row r="10" spans="1:8" x14ac:dyDescent="0.35">
      <c r="B10" s="9" t="s">
        <v>22</v>
      </c>
      <c r="C10" s="9" t="s">
        <v>23</v>
      </c>
      <c r="D10" s="9">
        <v>1</v>
      </c>
      <c r="E10" s="20">
        <v>-1449.9999999999995</v>
      </c>
      <c r="F10" s="9">
        <v>50</v>
      </c>
      <c r="G10" s="9">
        <v>1449.9999999999995</v>
      </c>
      <c r="H10" s="9">
        <v>1E+30</v>
      </c>
    </row>
    <row r="11" spans="1:8" x14ac:dyDescent="0.35">
      <c r="B11" s="9" t="s">
        <v>37</v>
      </c>
      <c r="C11" s="9" t="s">
        <v>24</v>
      </c>
      <c r="D11" s="9">
        <v>139.99999999999994</v>
      </c>
      <c r="E11" s="9">
        <v>0</v>
      </c>
      <c r="F11" s="9">
        <v>0</v>
      </c>
      <c r="G11" s="9">
        <v>72.499999999999986</v>
      </c>
      <c r="H11" s="9">
        <v>1E+30</v>
      </c>
    </row>
    <row r="12" spans="1:8" x14ac:dyDescent="0.35">
      <c r="B12" s="9" t="s">
        <v>38</v>
      </c>
      <c r="C12" s="9" t="s">
        <v>25</v>
      </c>
      <c r="D12" s="9">
        <v>150.00000000000006</v>
      </c>
      <c r="E12" s="9">
        <v>0</v>
      </c>
      <c r="F12" s="9">
        <v>100</v>
      </c>
      <c r="G12" s="9">
        <v>50.000000000000007</v>
      </c>
      <c r="H12" s="9">
        <v>48.333333333333321</v>
      </c>
    </row>
    <row r="13" spans="1:8" ht="15" thickBot="1" x14ac:dyDescent="0.4">
      <c r="B13" s="10" t="s">
        <v>39</v>
      </c>
      <c r="C13" s="10" t="s">
        <v>26</v>
      </c>
      <c r="D13" s="10">
        <v>9.9999999999999982</v>
      </c>
      <c r="E13" s="10">
        <v>0</v>
      </c>
      <c r="F13" s="10">
        <v>150</v>
      </c>
      <c r="G13" s="10">
        <v>144.99999999999997</v>
      </c>
      <c r="H13" s="10">
        <v>50.000000000000007</v>
      </c>
    </row>
    <row r="15" spans="1:8" ht="15" thickBot="1" x14ac:dyDescent="0.4">
      <c r="A15" t="s">
        <v>21</v>
      </c>
    </row>
    <row r="16" spans="1:8" x14ac:dyDescent="0.35">
      <c r="B16" s="41"/>
      <c r="C16" s="41"/>
      <c r="D16" s="41" t="s">
        <v>18</v>
      </c>
      <c r="E16" s="41" t="s">
        <v>34</v>
      </c>
      <c r="F16" s="41" t="s">
        <v>35</v>
      </c>
      <c r="G16" s="41" t="s">
        <v>31</v>
      </c>
      <c r="H16" s="41" t="s">
        <v>31</v>
      </c>
    </row>
    <row r="17" spans="2:8" ht="15" thickBot="1" x14ac:dyDescent="0.4">
      <c r="B17" s="42" t="s">
        <v>16</v>
      </c>
      <c r="C17" s="42" t="s">
        <v>17</v>
      </c>
      <c r="D17" s="42" t="s">
        <v>19</v>
      </c>
      <c r="E17" s="42" t="s">
        <v>5</v>
      </c>
      <c r="F17" s="42" t="s">
        <v>36</v>
      </c>
      <c r="G17" s="42" t="s">
        <v>32</v>
      </c>
      <c r="H17" s="42" t="s">
        <v>33</v>
      </c>
    </row>
    <row r="18" spans="2:8" x14ac:dyDescent="0.35">
      <c r="B18" s="9" t="s">
        <v>127</v>
      </c>
      <c r="C18" s="9" t="s">
        <v>124</v>
      </c>
      <c r="D18" s="9">
        <v>139.99999999999994</v>
      </c>
      <c r="E18" s="20">
        <v>-99.999999999999986</v>
      </c>
      <c r="F18" s="9">
        <v>0</v>
      </c>
      <c r="G18" s="9">
        <v>20.000000000000064</v>
      </c>
      <c r="H18" s="9">
        <v>49.999999999999964</v>
      </c>
    </row>
    <row r="19" spans="2:8" x14ac:dyDescent="0.35">
      <c r="B19" s="9" t="s">
        <v>37</v>
      </c>
      <c r="C19" s="9" t="s">
        <v>24</v>
      </c>
      <c r="D19" s="9">
        <v>139.99999999999994</v>
      </c>
      <c r="E19" s="9">
        <v>0</v>
      </c>
      <c r="F19" s="9">
        <v>0</v>
      </c>
      <c r="G19" s="9">
        <v>1E+30</v>
      </c>
      <c r="H19" s="9">
        <v>20.00000000000006</v>
      </c>
    </row>
    <row r="20" spans="2:8" x14ac:dyDescent="0.35">
      <c r="B20" s="9" t="s">
        <v>38</v>
      </c>
      <c r="C20" s="9" t="s">
        <v>25</v>
      </c>
      <c r="D20" s="9">
        <v>150.00000000000006</v>
      </c>
      <c r="E20" s="9">
        <v>0</v>
      </c>
      <c r="F20" s="9">
        <v>0</v>
      </c>
      <c r="G20" s="9">
        <v>1E+30</v>
      </c>
      <c r="H20" s="9">
        <v>49.99999999999995</v>
      </c>
    </row>
    <row r="21" spans="2:8" x14ac:dyDescent="0.35">
      <c r="B21" s="9" t="s">
        <v>39</v>
      </c>
      <c r="C21" s="9" t="s">
        <v>26</v>
      </c>
      <c r="D21" s="9">
        <v>9.9999999999999982</v>
      </c>
      <c r="E21" s="9">
        <v>0</v>
      </c>
      <c r="F21" s="9">
        <v>0</v>
      </c>
      <c r="G21" s="9">
        <v>1E+30</v>
      </c>
      <c r="H21" s="9">
        <v>90</v>
      </c>
    </row>
    <row r="22" spans="2:8" x14ac:dyDescent="0.35">
      <c r="B22" s="9" t="s">
        <v>37</v>
      </c>
      <c r="C22" s="9" t="s">
        <v>24</v>
      </c>
      <c r="D22" s="9">
        <v>139.99999999999994</v>
      </c>
      <c r="E22" s="9">
        <v>0</v>
      </c>
      <c r="F22" s="9">
        <v>0</v>
      </c>
      <c r="G22" s="9">
        <v>139.99999999999994</v>
      </c>
      <c r="H22" s="9">
        <v>1E+30</v>
      </c>
    </row>
    <row r="23" spans="2:8" x14ac:dyDescent="0.35">
      <c r="B23" s="9" t="s">
        <v>38</v>
      </c>
      <c r="C23" s="9" t="s">
        <v>25</v>
      </c>
      <c r="D23" s="9">
        <v>150.00000000000006</v>
      </c>
      <c r="E23" s="9">
        <v>0</v>
      </c>
      <c r="F23" s="9">
        <v>0</v>
      </c>
      <c r="G23" s="9">
        <v>150.00000000000006</v>
      </c>
      <c r="H23" s="9">
        <v>1E+30</v>
      </c>
    </row>
    <row r="24" spans="2:8" x14ac:dyDescent="0.35">
      <c r="B24" s="9" t="s">
        <v>39</v>
      </c>
      <c r="C24" s="9" t="s">
        <v>26</v>
      </c>
      <c r="D24" s="9">
        <v>9.9999999999999982</v>
      </c>
      <c r="E24" s="9">
        <v>50.000000000000007</v>
      </c>
      <c r="F24" s="9">
        <v>0</v>
      </c>
      <c r="G24" s="9">
        <v>90</v>
      </c>
      <c r="H24" s="9">
        <v>9.9999999999999982</v>
      </c>
    </row>
    <row r="25" spans="2:8" ht="15" thickBot="1" x14ac:dyDescent="0.4">
      <c r="B25" s="10" t="s">
        <v>27</v>
      </c>
      <c r="C25" s="10" t="s">
        <v>40</v>
      </c>
      <c r="D25" s="10">
        <v>300</v>
      </c>
      <c r="E25" s="24">
        <v>100</v>
      </c>
      <c r="F25" s="10">
        <v>300</v>
      </c>
      <c r="G25" s="10">
        <v>49.99999999999995</v>
      </c>
      <c r="H25" s="10">
        <v>150.00000000000006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2"/>
  <sheetViews>
    <sheetView workbookViewId="0">
      <selection activeCell="C11" sqref="C11:C12"/>
    </sheetView>
  </sheetViews>
  <sheetFormatPr defaultRowHeight="14.5" x14ac:dyDescent="0.35"/>
  <cols>
    <col min="3" max="3" width="13.81640625" customWidth="1"/>
    <col min="4" max="4" width="23.36328125" customWidth="1"/>
    <col min="5" max="5" width="14.81640625" customWidth="1"/>
    <col min="6" max="6" width="11.90625" customWidth="1"/>
    <col min="7" max="7" width="17.08984375" customWidth="1"/>
    <col min="8" max="8" width="20.36328125" customWidth="1"/>
    <col min="9" max="10" width="17.6328125" customWidth="1"/>
    <col min="14" max="14" width="12.36328125" customWidth="1"/>
    <col min="15" max="15" width="14.36328125" customWidth="1"/>
    <col min="18" max="18" width="14.81640625" customWidth="1"/>
  </cols>
  <sheetData>
    <row r="1" spans="3:18" x14ac:dyDescent="0.35">
      <c r="F1" t="s">
        <v>51</v>
      </c>
    </row>
    <row r="2" spans="3:18" x14ac:dyDescent="0.35">
      <c r="C2" s="1" t="s">
        <v>0</v>
      </c>
      <c r="D2" s="1" t="s">
        <v>43</v>
      </c>
    </row>
    <row r="3" spans="3:18" x14ac:dyDescent="0.35">
      <c r="C3" s="2">
        <v>300</v>
      </c>
      <c r="D3" s="12">
        <f>'#4 Sensitivity Report'!E25</f>
        <v>100</v>
      </c>
    </row>
    <row r="5" spans="3:18" ht="43.5"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c r="R5" s="32" t="s">
        <v>91</v>
      </c>
    </row>
    <row r="6" spans="3:18" x14ac:dyDescent="0.35">
      <c r="C6" s="1" t="s">
        <v>3</v>
      </c>
      <c r="D6" s="2">
        <v>160</v>
      </c>
      <c r="E6" s="2">
        <v>0</v>
      </c>
      <c r="F6" s="2">
        <v>0</v>
      </c>
      <c r="G6" s="2">
        <v>1</v>
      </c>
      <c r="H6" s="2">
        <v>0</v>
      </c>
      <c r="I6" s="7">
        <f>G6*E6</f>
        <v>0</v>
      </c>
      <c r="J6" s="7">
        <f>G6*D6</f>
        <v>160</v>
      </c>
      <c r="K6" s="3">
        <v>139.99999999999994</v>
      </c>
      <c r="L6" s="5">
        <f>F6*K6+G6*H6</f>
        <v>0</v>
      </c>
      <c r="M6" s="5">
        <f>K6*$D$3</f>
        <v>13999.999999999995</v>
      </c>
      <c r="N6" s="2">
        <f>0</f>
        <v>0</v>
      </c>
      <c r="O6" s="5">
        <f>M6+N6</f>
        <v>13999.999999999995</v>
      </c>
      <c r="P6" s="5"/>
      <c r="Q6" s="7"/>
      <c r="R6" s="18"/>
    </row>
    <row r="7" spans="3:18" x14ac:dyDescent="0.35">
      <c r="C7" s="1" t="s">
        <v>1</v>
      </c>
      <c r="D7" s="2">
        <v>200</v>
      </c>
      <c r="E7" s="2">
        <v>0</v>
      </c>
      <c r="F7" s="2">
        <v>100</v>
      </c>
      <c r="G7" s="4">
        <v>1</v>
      </c>
      <c r="H7" s="2">
        <v>80</v>
      </c>
      <c r="I7" s="7">
        <f>G7*E7</f>
        <v>0</v>
      </c>
      <c r="J7" s="7">
        <f t="shared" ref="J7:J8" si="0">G7*D7</f>
        <v>200</v>
      </c>
      <c r="K7" s="3">
        <v>150.00000000000006</v>
      </c>
      <c r="L7" s="5">
        <f>F7*K7+G7*H7</f>
        <v>15080.000000000005</v>
      </c>
      <c r="M7" s="5">
        <f t="shared" ref="M7:M8" si="1">K7*$D$3</f>
        <v>15000.000000000005</v>
      </c>
      <c r="N7" s="7">
        <f>G7*$H$12</f>
        <v>1999.9999999999998</v>
      </c>
      <c r="O7" s="5">
        <f>M7+N7</f>
        <v>17000.000000000004</v>
      </c>
      <c r="P7" s="5">
        <f t="shared" ref="P7:P8" si="2">K7*F7+G7*H7</f>
        <v>15080.000000000005</v>
      </c>
      <c r="Q7" s="5">
        <f>O7-P7</f>
        <v>1919.9999999999982</v>
      </c>
      <c r="R7" s="18">
        <f>-'#4 Sensitivity Report'!E9</f>
        <v>1919.999999999998</v>
      </c>
    </row>
    <row r="8" spans="3:18" x14ac:dyDescent="0.35">
      <c r="C8" s="1" t="s">
        <v>2</v>
      </c>
      <c r="D8" s="2">
        <v>100</v>
      </c>
      <c r="E8" s="2">
        <v>10</v>
      </c>
      <c r="F8" s="2">
        <v>150</v>
      </c>
      <c r="G8" s="4">
        <v>1</v>
      </c>
      <c r="H8" s="2">
        <v>50</v>
      </c>
      <c r="I8" s="7">
        <f t="shared" ref="I8" si="3">G8*E8</f>
        <v>10</v>
      </c>
      <c r="J8" s="7">
        <f t="shared" si="0"/>
        <v>100</v>
      </c>
      <c r="K8" s="3">
        <v>9.9999999999999982</v>
      </c>
      <c r="L8" s="5">
        <f>F8*K8+G8*H8</f>
        <v>1549.9999999999998</v>
      </c>
      <c r="M8" s="5">
        <f t="shared" si="1"/>
        <v>999.99999999999977</v>
      </c>
      <c r="N8" s="7">
        <f>G8*$H$12</f>
        <v>1999.9999999999998</v>
      </c>
      <c r="O8" s="5">
        <f>M8+N8</f>
        <v>2999.9999999999995</v>
      </c>
      <c r="P8" s="5">
        <f t="shared" si="2"/>
        <v>1549.9999999999998</v>
      </c>
      <c r="Q8" s="5">
        <f>O8-P8</f>
        <v>1449.9999999999998</v>
      </c>
      <c r="R8" s="18">
        <f>-'#4 Sensitivity Report'!E10</f>
        <v>1449.9999999999995</v>
      </c>
    </row>
    <row r="9" spans="3:18" x14ac:dyDescent="0.35">
      <c r="C9" s="1"/>
      <c r="D9" s="1"/>
      <c r="E9" s="1"/>
      <c r="F9" s="1" t="s">
        <v>44</v>
      </c>
      <c r="G9" s="1">
        <f>SUM(G7:G8)</f>
        <v>2</v>
      </c>
      <c r="H9" s="1"/>
      <c r="I9" s="1"/>
      <c r="J9" s="1" t="s">
        <v>11</v>
      </c>
      <c r="K9" s="5">
        <f>SUM(K6:K8)</f>
        <v>300</v>
      </c>
      <c r="L9" s="6">
        <f>SUM(L6:L8)</f>
        <v>16630.000000000004</v>
      </c>
    </row>
    <row r="11" spans="3:18" ht="29" x14ac:dyDescent="0.35">
      <c r="C11" s="16" t="s">
        <v>124</v>
      </c>
      <c r="D11" s="16" t="s">
        <v>70</v>
      </c>
      <c r="E11" s="16" t="s">
        <v>71</v>
      </c>
      <c r="F11" s="16" t="s">
        <v>19</v>
      </c>
      <c r="G11" s="16" t="s">
        <v>5</v>
      </c>
      <c r="H11" s="16" t="s">
        <v>73</v>
      </c>
    </row>
    <row r="12" spans="3:18" x14ac:dyDescent="0.35">
      <c r="C12" s="5">
        <f>K6</f>
        <v>139.99999999999994</v>
      </c>
      <c r="D12" s="2">
        <v>100</v>
      </c>
      <c r="E12" s="2">
        <v>20</v>
      </c>
      <c r="F12" s="7">
        <f>D12+G9*E12</f>
        <v>140</v>
      </c>
      <c r="G12" s="12">
        <f>'#4 Sensitivity Report'!E18</f>
        <v>-99.999999999999986</v>
      </c>
      <c r="H12" s="7">
        <f>-E12*G12</f>
        <v>1999.9999999999998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opLeftCell="A4" workbookViewId="0">
      <selection activeCell="E25" sqref="E25"/>
    </sheetView>
  </sheetViews>
  <sheetFormatPr defaultRowHeight="14.5" x14ac:dyDescent="0.35"/>
  <cols>
    <col min="1" max="1" width="2.36328125" customWidth="1"/>
    <col min="2" max="2" width="6.08984375" bestFit="1" customWidth="1"/>
    <col min="3" max="3" width="20.6328125" bestFit="1" customWidth="1"/>
    <col min="4" max="4" width="5.81640625" bestFit="1" customWidth="1"/>
    <col min="5" max="5" width="8.36328125" bestFit="1" customWidth="1"/>
    <col min="6" max="6" width="10.08984375" bestFit="1" customWidth="1"/>
    <col min="7" max="7" width="9.1796875" bestFit="1" customWidth="1"/>
    <col min="8" max="8" width="12" bestFit="1" customWidth="1"/>
  </cols>
  <sheetData>
    <row r="1" spans="1:8" x14ac:dyDescent="0.35">
      <c r="A1" s="8" t="s">
        <v>14</v>
      </c>
    </row>
    <row r="2" spans="1:8" x14ac:dyDescent="0.35">
      <c r="A2" s="8" t="s">
        <v>133</v>
      </c>
    </row>
    <row r="3" spans="1:8" x14ac:dyDescent="0.35">
      <c r="A3" s="8" t="s">
        <v>134</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-1919.999999999998</v>
      </c>
      <c r="F9" s="9">
        <v>80</v>
      </c>
      <c r="G9" s="9">
        <v>1919.999999999998</v>
      </c>
      <c r="H9" s="9">
        <v>1E+30</v>
      </c>
    </row>
    <row r="10" spans="1:8" x14ac:dyDescent="0.35">
      <c r="B10" s="9" t="s">
        <v>22</v>
      </c>
      <c r="C10" s="9" t="s">
        <v>23</v>
      </c>
      <c r="D10" s="9">
        <v>1</v>
      </c>
      <c r="E10" s="20">
        <v>-0.99999999999919709</v>
      </c>
      <c r="F10" s="9">
        <v>1499</v>
      </c>
      <c r="G10" s="9">
        <v>0.99999999999919709</v>
      </c>
      <c r="H10" s="9">
        <v>1E+30</v>
      </c>
    </row>
    <row r="11" spans="1:8" x14ac:dyDescent="0.35">
      <c r="B11" s="9" t="s">
        <v>37</v>
      </c>
      <c r="C11" s="9" t="s">
        <v>24</v>
      </c>
      <c r="D11" s="9">
        <v>139.99999999999994</v>
      </c>
      <c r="E11" s="9">
        <v>0</v>
      </c>
      <c r="F11" s="9">
        <v>0</v>
      </c>
      <c r="G11" s="9">
        <v>4.9999999999959854E-2</v>
      </c>
      <c r="H11" s="9">
        <v>1E+30</v>
      </c>
    </row>
    <row r="12" spans="1:8" x14ac:dyDescent="0.35">
      <c r="B12" s="9" t="s">
        <v>38</v>
      </c>
      <c r="C12" s="9" t="s">
        <v>25</v>
      </c>
      <c r="D12" s="9">
        <v>150.00000000000006</v>
      </c>
      <c r="E12" s="9">
        <v>0</v>
      </c>
      <c r="F12" s="9">
        <v>100</v>
      </c>
      <c r="G12" s="9">
        <v>50.000000000000028</v>
      </c>
      <c r="H12" s="9">
        <v>3.333333333330657E-2</v>
      </c>
    </row>
    <row r="13" spans="1:8" ht="15" thickBot="1" x14ac:dyDescent="0.4">
      <c r="B13" s="10" t="s">
        <v>39</v>
      </c>
      <c r="C13" s="10" t="s">
        <v>26</v>
      </c>
      <c r="D13" s="10">
        <v>9.9999999999999982</v>
      </c>
      <c r="E13" s="10">
        <v>0</v>
      </c>
      <c r="F13" s="10">
        <v>150</v>
      </c>
      <c r="G13" s="10">
        <v>9.9999999999919723E-2</v>
      </c>
      <c r="H13" s="10">
        <v>50.000000000000028</v>
      </c>
    </row>
    <row r="15" spans="1:8" ht="15" thickBot="1" x14ac:dyDescent="0.4">
      <c r="A15" t="s">
        <v>21</v>
      </c>
    </row>
    <row r="16" spans="1:8" x14ac:dyDescent="0.35">
      <c r="B16" s="41"/>
      <c r="C16" s="41"/>
      <c r="D16" s="41" t="s">
        <v>18</v>
      </c>
      <c r="E16" s="41" t="s">
        <v>34</v>
      </c>
      <c r="F16" s="41" t="s">
        <v>35</v>
      </c>
      <c r="G16" s="41" t="s">
        <v>31</v>
      </c>
      <c r="H16" s="41" t="s">
        <v>31</v>
      </c>
    </row>
    <row r="17" spans="2:8" ht="15" thickBot="1" x14ac:dyDescent="0.4">
      <c r="B17" s="42" t="s">
        <v>16</v>
      </c>
      <c r="C17" s="42" t="s">
        <v>17</v>
      </c>
      <c r="D17" s="42" t="s">
        <v>19</v>
      </c>
      <c r="E17" s="42" t="s">
        <v>5</v>
      </c>
      <c r="F17" s="42" t="s">
        <v>36</v>
      </c>
      <c r="G17" s="42" t="s">
        <v>32</v>
      </c>
      <c r="H17" s="42" t="s">
        <v>33</v>
      </c>
    </row>
    <row r="18" spans="2:8" x14ac:dyDescent="0.35">
      <c r="B18" s="9" t="s">
        <v>127</v>
      </c>
      <c r="C18" s="9" t="s">
        <v>124</v>
      </c>
      <c r="D18" s="9">
        <v>139.99999999999994</v>
      </c>
      <c r="E18" s="20">
        <v>-99.999999999999986</v>
      </c>
      <c r="F18" s="9">
        <v>0</v>
      </c>
      <c r="G18" s="9">
        <v>20.00000000000006</v>
      </c>
      <c r="H18" s="9">
        <v>49.999999999999972</v>
      </c>
    </row>
    <row r="19" spans="2:8" x14ac:dyDescent="0.35">
      <c r="B19" s="9" t="s">
        <v>37</v>
      </c>
      <c r="C19" s="9" t="s">
        <v>24</v>
      </c>
      <c r="D19" s="9">
        <v>139.99999999999994</v>
      </c>
      <c r="E19" s="9">
        <v>0</v>
      </c>
      <c r="F19" s="9">
        <v>0</v>
      </c>
      <c r="G19" s="9">
        <v>1E+30</v>
      </c>
      <c r="H19" s="9">
        <v>20.000000000000057</v>
      </c>
    </row>
    <row r="20" spans="2:8" x14ac:dyDescent="0.35">
      <c r="B20" s="9" t="s">
        <v>38</v>
      </c>
      <c r="C20" s="9" t="s">
        <v>25</v>
      </c>
      <c r="D20" s="9">
        <v>150.00000000000006</v>
      </c>
      <c r="E20" s="9">
        <v>0</v>
      </c>
      <c r="F20" s="9">
        <v>0</v>
      </c>
      <c r="G20" s="9">
        <v>1E+30</v>
      </c>
      <c r="H20" s="9">
        <v>49.999999999999957</v>
      </c>
    </row>
    <row r="21" spans="2:8" x14ac:dyDescent="0.35">
      <c r="B21" s="9" t="s">
        <v>39</v>
      </c>
      <c r="C21" s="9" t="s">
        <v>26</v>
      </c>
      <c r="D21" s="9">
        <v>9.9999999999999982</v>
      </c>
      <c r="E21" s="9">
        <v>0</v>
      </c>
      <c r="F21" s="9">
        <v>0</v>
      </c>
      <c r="G21" s="9">
        <v>1E+30</v>
      </c>
      <c r="H21" s="9">
        <v>90</v>
      </c>
    </row>
    <row r="22" spans="2:8" x14ac:dyDescent="0.35">
      <c r="B22" s="9" t="s">
        <v>37</v>
      </c>
      <c r="C22" s="9" t="s">
        <v>24</v>
      </c>
      <c r="D22" s="9">
        <v>139.99999999999994</v>
      </c>
      <c r="E22" s="9">
        <v>0</v>
      </c>
      <c r="F22" s="9">
        <v>0</v>
      </c>
      <c r="G22" s="9">
        <v>139.99999999999994</v>
      </c>
      <c r="H22" s="9">
        <v>1E+30</v>
      </c>
    </row>
    <row r="23" spans="2:8" x14ac:dyDescent="0.35">
      <c r="B23" s="9" t="s">
        <v>38</v>
      </c>
      <c r="C23" s="9" t="s">
        <v>25</v>
      </c>
      <c r="D23" s="9">
        <v>150.00000000000006</v>
      </c>
      <c r="E23" s="9">
        <v>0</v>
      </c>
      <c r="F23" s="9">
        <v>0</v>
      </c>
      <c r="G23" s="9">
        <v>150.00000000000006</v>
      </c>
      <c r="H23" s="9">
        <v>1E+30</v>
      </c>
    </row>
    <row r="24" spans="2:8" x14ac:dyDescent="0.35">
      <c r="B24" s="9" t="s">
        <v>39</v>
      </c>
      <c r="C24" s="9" t="s">
        <v>26</v>
      </c>
      <c r="D24" s="9">
        <v>9.9999999999999982</v>
      </c>
      <c r="E24" s="9">
        <v>50.000000000000028</v>
      </c>
      <c r="F24" s="9">
        <v>0</v>
      </c>
      <c r="G24" s="9">
        <v>90</v>
      </c>
      <c r="H24" s="9">
        <v>9.9999999999999982</v>
      </c>
    </row>
    <row r="25" spans="2:8" ht="15" thickBot="1" x14ac:dyDescent="0.4">
      <c r="B25" s="10" t="s">
        <v>27</v>
      </c>
      <c r="C25" s="10" t="s">
        <v>40</v>
      </c>
      <c r="D25" s="10">
        <v>300</v>
      </c>
      <c r="E25" s="24">
        <v>100</v>
      </c>
      <c r="F25" s="10">
        <v>300</v>
      </c>
      <c r="G25" s="10">
        <v>49.999999999999957</v>
      </c>
      <c r="H25" s="10">
        <v>150.00000000000006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2"/>
  <sheetViews>
    <sheetView workbookViewId="0">
      <selection activeCell="C11" sqref="C11:C12"/>
    </sheetView>
  </sheetViews>
  <sheetFormatPr defaultRowHeight="14.5" x14ac:dyDescent="0.35"/>
  <cols>
    <col min="3" max="3" width="13.81640625" customWidth="1"/>
    <col min="4" max="4" width="23.36328125" customWidth="1"/>
    <col min="5" max="5" width="14.81640625" customWidth="1"/>
    <col min="6" max="6" width="11.90625" customWidth="1"/>
    <col min="7" max="7" width="17.08984375" customWidth="1"/>
    <col min="8" max="8" width="20.36328125" customWidth="1"/>
    <col min="9" max="10" width="17.6328125" customWidth="1"/>
    <col min="13" max="13" width="16.453125" customWidth="1"/>
    <col min="14" max="14" width="11.08984375" customWidth="1"/>
    <col min="16" max="16" width="10.54296875" customWidth="1"/>
    <col min="18" max="18" width="14.453125" customWidth="1"/>
  </cols>
  <sheetData>
    <row r="1" spans="3:18" x14ac:dyDescent="0.35">
      <c r="G1" t="s">
        <v>51</v>
      </c>
    </row>
    <row r="2" spans="3:18" x14ac:dyDescent="0.35">
      <c r="C2" s="1" t="s">
        <v>0</v>
      </c>
      <c r="D2" s="1" t="s">
        <v>43</v>
      </c>
    </row>
    <row r="3" spans="3:18" x14ac:dyDescent="0.35">
      <c r="C3" s="2">
        <v>300</v>
      </c>
      <c r="D3" s="12">
        <f>'#5 Sensitivity Report'!E25</f>
        <v>100</v>
      </c>
    </row>
    <row r="5" spans="3:18" ht="43.5"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c r="R5" s="32" t="s">
        <v>91</v>
      </c>
    </row>
    <row r="6" spans="3:18" x14ac:dyDescent="0.35">
      <c r="C6" s="1" t="s">
        <v>3</v>
      </c>
      <c r="D6" s="2">
        <v>160</v>
      </c>
      <c r="E6" s="2">
        <v>0</v>
      </c>
      <c r="F6" s="2">
        <v>0</v>
      </c>
      <c r="G6" s="2">
        <v>1</v>
      </c>
      <c r="H6" s="2">
        <v>0</v>
      </c>
      <c r="I6" s="7">
        <f>G6*E6</f>
        <v>0</v>
      </c>
      <c r="J6" s="7">
        <f>G6*D6</f>
        <v>160</v>
      </c>
      <c r="K6" s="3">
        <v>139.99999999999994</v>
      </c>
      <c r="L6" s="5">
        <f>F6*K6+G6*H6</f>
        <v>0</v>
      </c>
      <c r="M6" s="5">
        <f>K6*$D$3</f>
        <v>13999.999999999995</v>
      </c>
      <c r="N6" s="2">
        <f>0</f>
        <v>0</v>
      </c>
      <c r="O6" s="5">
        <f>M6+N6</f>
        <v>13999.999999999995</v>
      </c>
      <c r="P6" s="5">
        <f>K6*F6+G6*H6</f>
        <v>0</v>
      </c>
      <c r="Q6" s="7"/>
      <c r="R6" s="18"/>
    </row>
    <row r="7" spans="3:18" x14ac:dyDescent="0.35">
      <c r="C7" s="1" t="s">
        <v>1</v>
      </c>
      <c r="D7" s="2">
        <v>200</v>
      </c>
      <c r="E7" s="2">
        <v>0</v>
      </c>
      <c r="F7" s="2">
        <v>100</v>
      </c>
      <c r="G7" s="4">
        <v>1</v>
      </c>
      <c r="H7" s="2">
        <v>80</v>
      </c>
      <c r="I7" s="7">
        <f t="shared" ref="I7:I8" si="0">G7*E7</f>
        <v>0</v>
      </c>
      <c r="J7" s="7">
        <f t="shared" ref="J7:J8" si="1">G7*D7</f>
        <v>200</v>
      </c>
      <c r="K7" s="3">
        <v>150.00000000000006</v>
      </c>
      <c r="L7" s="5">
        <f>F7*K7+G7*H7</f>
        <v>15080.000000000005</v>
      </c>
      <c r="M7" s="5">
        <f t="shared" ref="M7:M8" si="2">K7*$D$3</f>
        <v>15000.000000000005</v>
      </c>
      <c r="N7" s="7">
        <f>G7*$H$12</f>
        <v>1999.9999999999998</v>
      </c>
      <c r="O7" s="5">
        <f>M7+N7</f>
        <v>17000.000000000004</v>
      </c>
      <c r="P7" s="5">
        <f t="shared" ref="P7:P8" si="3">K7*F7+G7*H7</f>
        <v>15080.000000000005</v>
      </c>
      <c r="Q7" s="5">
        <f>O7-P7</f>
        <v>1919.9999999999982</v>
      </c>
      <c r="R7" s="18">
        <f>-'#5 Sensitivity Report'!E9</f>
        <v>1919.999999999998</v>
      </c>
    </row>
    <row r="8" spans="3:18" x14ac:dyDescent="0.35">
      <c r="C8" s="1" t="s">
        <v>2</v>
      </c>
      <c r="D8" s="2">
        <v>100</v>
      </c>
      <c r="E8" s="2">
        <v>10</v>
      </c>
      <c r="F8" s="2">
        <v>150</v>
      </c>
      <c r="G8" s="4">
        <v>1</v>
      </c>
      <c r="H8" s="2">
        <v>1499</v>
      </c>
      <c r="I8" s="7">
        <f t="shared" si="0"/>
        <v>10</v>
      </c>
      <c r="J8" s="7">
        <f t="shared" si="1"/>
        <v>100</v>
      </c>
      <c r="K8" s="3">
        <v>9.9999999999999982</v>
      </c>
      <c r="L8" s="5">
        <f>F8*K8+G8*H8</f>
        <v>2999</v>
      </c>
      <c r="M8" s="5">
        <f t="shared" si="2"/>
        <v>999.99999999999977</v>
      </c>
      <c r="N8" s="7">
        <f>G8*$H$12</f>
        <v>1999.9999999999998</v>
      </c>
      <c r="O8" s="5">
        <f>M8+N8</f>
        <v>2999.9999999999995</v>
      </c>
      <c r="P8" s="5">
        <f t="shared" si="3"/>
        <v>2999</v>
      </c>
      <c r="Q8" s="5">
        <f>O8-P8</f>
        <v>0.99999999999954525</v>
      </c>
      <c r="R8" s="18">
        <f>-'#5 Sensitivity Report'!E10</f>
        <v>0.99999999999919709</v>
      </c>
    </row>
    <row r="9" spans="3:18" x14ac:dyDescent="0.35">
      <c r="C9" s="1"/>
      <c r="D9" s="1"/>
      <c r="E9" s="1"/>
      <c r="F9" s="1" t="s">
        <v>44</v>
      </c>
      <c r="G9" s="1">
        <f>SUM(G7:G8)</f>
        <v>2</v>
      </c>
      <c r="H9" s="1"/>
      <c r="I9" s="1"/>
      <c r="J9" s="1" t="s">
        <v>11</v>
      </c>
      <c r="K9" s="5">
        <f>SUM(K6:K8)</f>
        <v>300</v>
      </c>
      <c r="L9" s="6">
        <f>SUM(L6:L8)</f>
        <v>18079.000000000007</v>
      </c>
    </row>
    <row r="11" spans="3:18" ht="29" x14ac:dyDescent="0.35">
      <c r="C11" s="16" t="s">
        <v>124</v>
      </c>
      <c r="D11" s="16" t="s">
        <v>70</v>
      </c>
      <c r="E11" s="16" t="s">
        <v>71</v>
      </c>
      <c r="F11" s="16" t="s">
        <v>19</v>
      </c>
      <c r="G11" s="16" t="s">
        <v>5</v>
      </c>
      <c r="H11" s="16" t="s">
        <v>73</v>
      </c>
    </row>
    <row r="12" spans="3:18" x14ac:dyDescent="0.35">
      <c r="C12" s="5">
        <f>K6</f>
        <v>139.99999999999994</v>
      </c>
      <c r="D12" s="2">
        <v>100</v>
      </c>
      <c r="E12" s="2">
        <v>20</v>
      </c>
      <c r="F12" s="7">
        <f>D12+G9*E12</f>
        <v>140</v>
      </c>
      <c r="G12" s="12">
        <f>'#5 Sensitivity Report'!E18</f>
        <v>-99.999999999999986</v>
      </c>
      <c r="H12" s="7">
        <f>-E12*G12</f>
        <v>1999.9999999999998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topLeftCell="A7" workbookViewId="0">
      <selection activeCell="E25" sqref="E25"/>
    </sheetView>
  </sheetViews>
  <sheetFormatPr defaultRowHeight="14.5" x14ac:dyDescent="0.35"/>
  <cols>
    <col min="1" max="1" width="2.36328125" customWidth="1"/>
    <col min="2" max="2" width="6.08984375" bestFit="1" customWidth="1"/>
    <col min="3" max="3" width="20.6328125" bestFit="1" customWidth="1"/>
    <col min="4" max="4" width="6" bestFit="1" customWidth="1"/>
    <col min="5" max="5" width="8.36328125" bestFit="1" customWidth="1"/>
    <col min="6" max="6" width="10.08984375" bestFit="1" customWidth="1"/>
    <col min="7" max="7" width="9.1796875" bestFit="1" customWidth="1"/>
    <col min="8" max="8" width="12" bestFit="1" customWidth="1"/>
  </cols>
  <sheetData>
    <row r="1" spans="1:8" x14ac:dyDescent="0.35">
      <c r="A1" s="8" t="s">
        <v>14</v>
      </c>
    </row>
    <row r="2" spans="1:8" x14ac:dyDescent="0.35">
      <c r="A2" s="8" t="s">
        <v>135</v>
      </c>
    </row>
    <row r="3" spans="1:8" x14ac:dyDescent="0.35">
      <c r="A3" s="8" t="s">
        <v>136</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-1638.9999999999991</v>
      </c>
      <c r="F9" s="9">
        <v>80</v>
      </c>
      <c r="G9" s="9">
        <v>1638.9999999999991</v>
      </c>
      <c r="H9" s="9">
        <v>1E+30</v>
      </c>
    </row>
    <row r="10" spans="1:8" x14ac:dyDescent="0.35">
      <c r="B10" s="9" t="s">
        <v>22</v>
      </c>
      <c r="C10" s="9" t="s">
        <v>23</v>
      </c>
      <c r="D10" s="9">
        <v>0.95000000000000284</v>
      </c>
      <c r="E10" s="20">
        <v>0</v>
      </c>
      <c r="F10" s="9">
        <v>1499</v>
      </c>
      <c r="G10" s="9">
        <v>280.99999999999915</v>
      </c>
      <c r="H10" s="9">
        <v>1639.0000000000009</v>
      </c>
    </row>
    <row r="11" spans="1:8" x14ac:dyDescent="0.35">
      <c r="B11" s="9" t="s">
        <v>37</v>
      </c>
      <c r="C11" s="9" t="s">
        <v>24</v>
      </c>
      <c r="D11" s="9">
        <v>139</v>
      </c>
      <c r="E11" s="9">
        <v>0</v>
      </c>
      <c r="F11" s="9">
        <v>0</v>
      </c>
      <c r="G11" s="9">
        <v>14.049999999999958</v>
      </c>
      <c r="H11" s="9">
        <v>1E+30</v>
      </c>
    </row>
    <row r="12" spans="1:8" x14ac:dyDescent="0.35">
      <c r="B12" s="9" t="s">
        <v>38</v>
      </c>
      <c r="C12" s="9" t="s">
        <v>25</v>
      </c>
      <c r="D12" s="9">
        <v>151.49999999999997</v>
      </c>
      <c r="E12" s="9">
        <v>0</v>
      </c>
      <c r="F12" s="9">
        <v>100</v>
      </c>
      <c r="G12" s="9">
        <v>22.000000000000021</v>
      </c>
      <c r="H12" s="9">
        <v>9.3666666666666387</v>
      </c>
    </row>
    <row r="13" spans="1:8" ht="15" thickBot="1" x14ac:dyDescent="0.4">
      <c r="B13" s="10" t="s">
        <v>39</v>
      </c>
      <c r="C13" s="10" t="s">
        <v>26</v>
      </c>
      <c r="D13" s="10">
        <v>9.5000000000000266</v>
      </c>
      <c r="E13" s="10">
        <v>0</v>
      </c>
      <c r="F13" s="10">
        <v>122</v>
      </c>
      <c r="G13" s="10">
        <v>28.099999999999923</v>
      </c>
      <c r="H13" s="10">
        <v>22.000000000000018</v>
      </c>
    </row>
    <row r="15" spans="1:8" ht="15" thickBot="1" x14ac:dyDescent="0.4">
      <c r="A15" t="s">
        <v>21</v>
      </c>
    </row>
    <row r="16" spans="1:8" x14ac:dyDescent="0.35">
      <c r="B16" s="41"/>
      <c r="C16" s="41"/>
      <c r="D16" s="41" t="s">
        <v>18</v>
      </c>
      <c r="E16" s="41" t="s">
        <v>34</v>
      </c>
      <c r="F16" s="41" t="s">
        <v>35</v>
      </c>
      <c r="G16" s="41" t="s">
        <v>31</v>
      </c>
      <c r="H16" s="41" t="s">
        <v>31</v>
      </c>
    </row>
    <row r="17" spans="2:8" ht="15" thickBot="1" x14ac:dyDescent="0.4">
      <c r="B17" s="42" t="s">
        <v>16</v>
      </c>
      <c r="C17" s="42" t="s">
        <v>17</v>
      </c>
      <c r="D17" s="42" t="s">
        <v>19</v>
      </c>
      <c r="E17" s="42" t="s">
        <v>5</v>
      </c>
      <c r="F17" s="42" t="s">
        <v>36</v>
      </c>
      <c r="G17" s="42" t="s">
        <v>32</v>
      </c>
      <c r="H17" s="42" t="s">
        <v>33</v>
      </c>
    </row>
    <row r="18" spans="2:8" x14ac:dyDescent="0.35">
      <c r="B18" s="9" t="s">
        <v>127</v>
      </c>
      <c r="C18" s="9" t="s">
        <v>124</v>
      </c>
      <c r="D18" s="9">
        <v>139</v>
      </c>
      <c r="E18" s="20">
        <v>-85.950000000000031</v>
      </c>
      <c r="F18" s="9">
        <v>0</v>
      </c>
      <c r="G18" s="9">
        <v>19.00000000000006</v>
      </c>
      <c r="H18" s="9">
        <v>0.99999999999994338</v>
      </c>
    </row>
    <row r="19" spans="2:8" x14ac:dyDescent="0.35">
      <c r="B19" s="9" t="s">
        <v>37</v>
      </c>
      <c r="C19" s="9" t="s">
        <v>24</v>
      </c>
      <c r="D19" s="9">
        <v>139</v>
      </c>
      <c r="E19" s="9">
        <v>-14.049999999999958</v>
      </c>
      <c r="F19" s="9">
        <v>0</v>
      </c>
      <c r="G19" s="9">
        <v>0.99999999999994316</v>
      </c>
      <c r="H19" s="9">
        <v>19.000000000000057</v>
      </c>
    </row>
    <row r="20" spans="2:8" x14ac:dyDescent="0.35">
      <c r="B20" s="9" t="s">
        <v>38</v>
      </c>
      <c r="C20" s="9" t="s">
        <v>25</v>
      </c>
      <c r="D20" s="9">
        <v>151.49999999999997</v>
      </c>
      <c r="E20" s="9">
        <v>0</v>
      </c>
      <c r="F20" s="9">
        <v>0</v>
      </c>
      <c r="G20" s="9">
        <v>1E+30</v>
      </c>
      <c r="H20" s="9">
        <v>48.500000000000043</v>
      </c>
    </row>
    <row r="21" spans="2:8" x14ac:dyDescent="0.35">
      <c r="B21" s="9" t="s">
        <v>39</v>
      </c>
      <c r="C21" s="9" t="s">
        <v>26</v>
      </c>
      <c r="D21" s="9">
        <v>9.5000000000000266</v>
      </c>
      <c r="E21" s="9">
        <v>0</v>
      </c>
      <c r="F21" s="9">
        <v>0</v>
      </c>
      <c r="G21" s="9">
        <v>1E+30</v>
      </c>
      <c r="H21" s="9">
        <v>85.500000000000256</v>
      </c>
    </row>
    <row r="22" spans="2:8" x14ac:dyDescent="0.35">
      <c r="B22" s="9" t="s">
        <v>37</v>
      </c>
      <c r="C22" s="9" t="s">
        <v>24</v>
      </c>
      <c r="D22" s="9">
        <v>139</v>
      </c>
      <c r="E22" s="9">
        <v>0</v>
      </c>
      <c r="F22" s="9">
        <v>0</v>
      </c>
      <c r="G22" s="9">
        <v>139</v>
      </c>
      <c r="H22" s="9">
        <v>1E+30</v>
      </c>
    </row>
    <row r="23" spans="2:8" x14ac:dyDescent="0.35">
      <c r="B23" s="9" t="s">
        <v>38</v>
      </c>
      <c r="C23" s="9" t="s">
        <v>25</v>
      </c>
      <c r="D23" s="9">
        <v>151.49999999999997</v>
      </c>
      <c r="E23" s="9">
        <v>0</v>
      </c>
      <c r="F23" s="9">
        <v>0</v>
      </c>
      <c r="G23" s="9">
        <v>151.49999999999997</v>
      </c>
      <c r="H23" s="9">
        <v>1E+30</v>
      </c>
    </row>
    <row r="24" spans="2:8" x14ac:dyDescent="0.35">
      <c r="B24" s="9" t="s">
        <v>39</v>
      </c>
      <c r="C24" s="9" t="s">
        <v>26</v>
      </c>
      <c r="D24" s="9">
        <v>9.5000000000000266</v>
      </c>
      <c r="E24" s="9">
        <v>22.000000000000021</v>
      </c>
      <c r="F24" s="9">
        <v>0</v>
      </c>
      <c r="G24" s="9">
        <v>85.500000000000298</v>
      </c>
      <c r="H24" s="9">
        <v>9.5000000000000249</v>
      </c>
    </row>
    <row r="25" spans="2:8" ht="15" thickBot="1" x14ac:dyDescent="0.4">
      <c r="B25" s="10" t="s">
        <v>27</v>
      </c>
      <c r="C25" s="10" t="s">
        <v>40</v>
      </c>
      <c r="D25" s="10">
        <v>300</v>
      </c>
      <c r="E25" s="24">
        <v>100</v>
      </c>
      <c r="F25" s="10">
        <v>300</v>
      </c>
      <c r="G25" s="10">
        <v>48.500000000000043</v>
      </c>
      <c r="H25" s="10">
        <v>151.49999999999997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2"/>
  <sheetViews>
    <sheetView workbookViewId="0">
      <selection activeCell="C11" sqref="C11:C12"/>
    </sheetView>
  </sheetViews>
  <sheetFormatPr defaultRowHeight="14.5" x14ac:dyDescent="0.35"/>
  <cols>
    <col min="3" max="3" width="13.81640625" customWidth="1"/>
    <col min="4" max="4" width="14.6328125" customWidth="1"/>
    <col min="5" max="5" width="10.6328125" customWidth="1"/>
    <col min="6" max="6" width="8.1796875" customWidth="1"/>
    <col min="7" max="7" width="12.08984375" customWidth="1"/>
    <col min="8" max="8" width="12.36328125" customWidth="1"/>
    <col min="9" max="9" width="8.81640625" customWidth="1"/>
    <col min="10" max="10" width="10.6328125" customWidth="1"/>
    <col min="13" max="13" width="11.1796875" customWidth="1"/>
    <col min="14" max="14" width="8.54296875" customWidth="1"/>
    <col min="16" max="16" width="8.453125" customWidth="1"/>
    <col min="18" max="18" width="14.54296875" customWidth="1"/>
  </cols>
  <sheetData>
    <row r="1" spans="3:18" x14ac:dyDescent="0.35">
      <c r="G1" t="s">
        <v>51</v>
      </c>
    </row>
    <row r="2" spans="3:18" x14ac:dyDescent="0.35">
      <c r="C2" s="1" t="s">
        <v>0</v>
      </c>
      <c r="D2" s="1" t="s">
        <v>43</v>
      </c>
    </row>
    <row r="3" spans="3:18" x14ac:dyDescent="0.35">
      <c r="C3" s="2">
        <v>300</v>
      </c>
      <c r="D3" s="12">
        <f>'#6 Sensitivity Report'!E25</f>
        <v>100</v>
      </c>
    </row>
    <row r="5" spans="3:18" ht="43.5"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c r="R5" s="32" t="s">
        <v>91</v>
      </c>
    </row>
    <row r="6" spans="3:18" x14ac:dyDescent="0.35">
      <c r="C6" s="1" t="s">
        <v>3</v>
      </c>
      <c r="D6" s="2">
        <v>139</v>
      </c>
      <c r="E6" s="2">
        <v>0</v>
      </c>
      <c r="F6" s="2">
        <v>0</v>
      </c>
      <c r="G6" s="2">
        <v>1</v>
      </c>
      <c r="H6" s="2">
        <v>0</v>
      </c>
      <c r="I6" s="7">
        <f>G6*E6</f>
        <v>0</v>
      </c>
      <c r="J6" s="7">
        <f>G6*D6</f>
        <v>139</v>
      </c>
      <c r="K6" s="13">
        <v>139</v>
      </c>
      <c r="L6" s="5">
        <f>F6*K6+G6*H6</f>
        <v>0</v>
      </c>
      <c r="M6" s="5">
        <f>K6*$D$3</f>
        <v>13900</v>
      </c>
      <c r="N6" s="2">
        <f>0</f>
        <v>0</v>
      </c>
      <c r="O6" s="5">
        <f>M6+N6</f>
        <v>13900</v>
      </c>
      <c r="P6" s="5">
        <f>K6*F6+G6*H6</f>
        <v>0</v>
      </c>
      <c r="Q6" s="7"/>
      <c r="R6" s="18"/>
    </row>
    <row r="7" spans="3:18" x14ac:dyDescent="0.35">
      <c r="C7" s="1" t="s">
        <v>1</v>
      </c>
      <c r="D7" s="2">
        <v>200</v>
      </c>
      <c r="E7" s="2">
        <v>0</v>
      </c>
      <c r="F7" s="2">
        <v>100</v>
      </c>
      <c r="G7" s="4">
        <v>1</v>
      </c>
      <c r="H7" s="2">
        <v>80</v>
      </c>
      <c r="I7" s="7">
        <f t="shared" ref="I7:I8" si="0">G7*E7</f>
        <v>0</v>
      </c>
      <c r="J7" s="7">
        <f t="shared" ref="J7:J8" si="1">G7*D7</f>
        <v>200</v>
      </c>
      <c r="K7" s="13">
        <v>151.49999999999997</v>
      </c>
      <c r="L7" s="5">
        <f>F7*K7+G7*H7</f>
        <v>15229.999999999996</v>
      </c>
      <c r="M7" s="5">
        <f t="shared" ref="M7:M8" si="2">K7*$D$3</f>
        <v>15149.999999999996</v>
      </c>
      <c r="N7" s="7">
        <f>G7*$H$12</f>
        <v>1719.0000000000007</v>
      </c>
      <c r="O7" s="5">
        <f>M7+N7</f>
        <v>16868.999999999996</v>
      </c>
      <c r="P7" s="5">
        <f t="shared" ref="P7:P8" si="3">K7*F7+G7*H7</f>
        <v>15229.999999999996</v>
      </c>
      <c r="Q7" s="5">
        <f>O7-P7</f>
        <v>1639</v>
      </c>
      <c r="R7" s="18">
        <f>-'#6 Sensitivity Report'!E9</f>
        <v>1638.9999999999991</v>
      </c>
    </row>
    <row r="8" spans="3:18" x14ac:dyDescent="0.35">
      <c r="C8" s="1" t="s">
        <v>2</v>
      </c>
      <c r="D8" s="2">
        <v>100</v>
      </c>
      <c r="E8" s="2">
        <v>10</v>
      </c>
      <c r="F8" s="2">
        <v>122</v>
      </c>
      <c r="G8" s="4">
        <v>0.95000000000000284</v>
      </c>
      <c r="H8" s="2">
        <v>1499</v>
      </c>
      <c r="I8" s="7">
        <f t="shared" si="0"/>
        <v>9.5000000000000284</v>
      </c>
      <c r="J8" s="7">
        <f t="shared" si="1"/>
        <v>95.000000000000284</v>
      </c>
      <c r="K8" s="13">
        <v>9.5000000000000266</v>
      </c>
      <c r="L8" s="5">
        <f>F8*K8+G8*H8</f>
        <v>2583.0500000000075</v>
      </c>
      <c r="M8" s="5">
        <f t="shared" si="2"/>
        <v>950.00000000000261</v>
      </c>
      <c r="N8" s="7">
        <f>G8*$H$12</f>
        <v>1633.0500000000056</v>
      </c>
      <c r="O8" s="5">
        <f>M8+N8</f>
        <v>2583.0500000000084</v>
      </c>
      <c r="P8" s="5">
        <f t="shared" si="3"/>
        <v>2583.0500000000075</v>
      </c>
      <c r="Q8" s="5">
        <f>O8-P8</f>
        <v>0</v>
      </c>
      <c r="R8" s="18">
        <f>-'#6 Sensitivity Report'!E10</f>
        <v>0</v>
      </c>
    </row>
    <row r="9" spans="3:18" x14ac:dyDescent="0.35">
      <c r="C9" s="1"/>
      <c r="D9" s="1"/>
      <c r="E9" s="1"/>
      <c r="F9" s="1" t="s">
        <v>44</v>
      </c>
      <c r="G9" s="1">
        <f>SUM(G7:G8)</f>
        <v>1.9500000000000028</v>
      </c>
      <c r="H9" s="1"/>
      <c r="I9" s="1"/>
      <c r="J9" s="1" t="s">
        <v>11</v>
      </c>
      <c r="K9" s="14">
        <f>SUM(K6:K8)</f>
        <v>300</v>
      </c>
      <c r="L9" s="6">
        <f>SUM(L6:L8)</f>
        <v>17813.050000000003</v>
      </c>
    </row>
    <row r="11" spans="3:18" ht="43.5" x14ac:dyDescent="0.35">
      <c r="C11" s="16" t="s">
        <v>124</v>
      </c>
      <c r="D11" s="16" t="s">
        <v>70</v>
      </c>
      <c r="E11" s="16" t="s">
        <v>71</v>
      </c>
      <c r="F11" s="16" t="s">
        <v>19</v>
      </c>
      <c r="G11" s="16" t="s">
        <v>5</v>
      </c>
      <c r="H11" s="16" t="s">
        <v>73</v>
      </c>
    </row>
    <row r="12" spans="3:18" x14ac:dyDescent="0.35">
      <c r="C12" s="5">
        <f>K6</f>
        <v>139</v>
      </c>
      <c r="D12" s="2">
        <v>100</v>
      </c>
      <c r="E12" s="2">
        <v>20</v>
      </c>
      <c r="F12" s="7">
        <f>D12+G9*E12</f>
        <v>139.00000000000006</v>
      </c>
      <c r="G12" s="12">
        <f>'#6 Sensitivity Report'!E18</f>
        <v>-85.950000000000031</v>
      </c>
      <c r="H12" s="7">
        <f>-E12*G12</f>
        <v>1719.0000000000007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12"/>
  <sheetViews>
    <sheetView workbookViewId="0">
      <selection activeCell="C11" sqref="C11:C12"/>
    </sheetView>
  </sheetViews>
  <sheetFormatPr defaultRowHeight="14.5" x14ac:dyDescent="0.35"/>
  <cols>
    <col min="3" max="3" width="13.81640625" customWidth="1"/>
    <col min="4" max="4" width="14.453125" customWidth="1"/>
    <col min="5" max="5" width="10.36328125" customWidth="1"/>
    <col min="6" max="6" width="8.36328125" customWidth="1"/>
    <col min="7" max="7" width="12.453125" customWidth="1"/>
    <col min="8" max="8" width="12.81640625" customWidth="1"/>
    <col min="9" max="9" width="11.81640625" customWidth="1"/>
    <col min="10" max="10" width="9.08984375" customWidth="1"/>
    <col min="13" max="13" width="16.453125" customWidth="1"/>
    <col min="14" max="14" width="11.08984375" customWidth="1"/>
    <col min="16" max="16" width="10.54296875" customWidth="1"/>
  </cols>
  <sheetData>
    <row r="1" spans="3:15" x14ac:dyDescent="0.35">
      <c r="G1" t="s">
        <v>77</v>
      </c>
    </row>
    <row r="2" spans="3:15" x14ac:dyDescent="0.35">
      <c r="C2" s="1" t="s">
        <v>0</v>
      </c>
      <c r="D2" s="1" t="s">
        <v>43</v>
      </c>
    </row>
    <row r="3" spans="3:15" x14ac:dyDescent="0.35">
      <c r="C3" s="2">
        <v>300</v>
      </c>
      <c r="D3" s="12" t="s">
        <v>75</v>
      </c>
    </row>
    <row r="5" spans="3:15" ht="29" x14ac:dyDescent="0.35">
      <c r="C5" s="16"/>
      <c r="D5" s="16" t="s">
        <v>4</v>
      </c>
      <c r="E5" s="16" t="s">
        <v>9</v>
      </c>
      <c r="F5" s="16" t="s">
        <v>5</v>
      </c>
      <c r="G5" s="16" t="s">
        <v>6</v>
      </c>
      <c r="H5" s="16" t="s">
        <v>10</v>
      </c>
      <c r="I5" s="16" t="s">
        <v>13</v>
      </c>
      <c r="J5" s="16" t="s">
        <v>28</v>
      </c>
      <c r="K5" s="16" t="s">
        <v>7</v>
      </c>
      <c r="L5" s="16" t="s">
        <v>8</v>
      </c>
      <c r="M5" s="16" t="s">
        <v>47</v>
      </c>
      <c r="N5" s="16" t="s">
        <v>48</v>
      </c>
      <c r="O5" s="16" t="s">
        <v>49</v>
      </c>
    </row>
    <row r="6" spans="3:15" x14ac:dyDescent="0.35">
      <c r="C6" s="1" t="s">
        <v>3</v>
      </c>
      <c r="D6" s="2">
        <v>139</v>
      </c>
      <c r="E6" s="2">
        <v>0</v>
      </c>
      <c r="F6" s="2">
        <v>0</v>
      </c>
      <c r="G6" s="2">
        <v>1</v>
      </c>
      <c r="H6" s="2">
        <v>0</v>
      </c>
      <c r="I6" s="7">
        <f>G6*E6</f>
        <v>0</v>
      </c>
      <c r="J6" s="7">
        <f>G6*D6</f>
        <v>139</v>
      </c>
      <c r="K6" s="3">
        <v>139</v>
      </c>
      <c r="L6" s="5">
        <f>F6*K6+G6*H6</f>
        <v>0</v>
      </c>
      <c r="M6" s="5" t="e">
        <f>K6*$D$3</f>
        <v>#VALUE!</v>
      </c>
      <c r="N6" s="2">
        <f>0</f>
        <v>0</v>
      </c>
      <c r="O6" s="5" t="e">
        <f>M6+N6</f>
        <v>#VALUE!</v>
      </c>
    </row>
    <row r="7" spans="3:15" x14ac:dyDescent="0.35">
      <c r="C7" s="1" t="s">
        <v>1</v>
      </c>
      <c r="D7" s="2">
        <v>200</v>
      </c>
      <c r="E7" s="2">
        <v>0</v>
      </c>
      <c r="F7" s="2">
        <v>100</v>
      </c>
      <c r="G7" s="4">
        <v>1</v>
      </c>
      <c r="H7" s="2">
        <v>80</v>
      </c>
      <c r="I7" s="7">
        <f t="shared" ref="I7:I8" si="0">G7*E7</f>
        <v>0</v>
      </c>
      <c r="J7" s="7">
        <f t="shared" ref="J7:J8" si="1">G7*D7</f>
        <v>200</v>
      </c>
      <c r="K7" s="3">
        <v>151</v>
      </c>
      <c r="L7" s="5">
        <f>F7*K7+G7*H7</f>
        <v>15180</v>
      </c>
      <c r="M7" s="5" t="e">
        <f t="shared" ref="M7:M8" si="2">K7*$D$3</f>
        <v>#VALUE!</v>
      </c>
      <c r="N7" s="7" t="e">
        <f>G7*$H$12</f>
        <v>#VALUE!</v>
      </c>
      <c r="O7" s="5" t="e">
        <f>M7+N7</f>
        <v>#VALUE!</v>
      </c>
    </row>
    <row r="8" spans="3:15" x14ac:dyDescent="0.35">
      <c r="C8" s="1" t="s">
        <v>2</v>
      </c>
      <c r="D8" s="2">
        <v>100</v>
      </c>
      <c r="E8" s="2">
        <v>10</v>
      </c>
      <c r="F8" s="2">
        <v>122</v>
      </c>
      <c r="G8" s="4">
        <v>1</v>
      </c>
      <c r="H8" s="2">
        <v>1499</v>
      </c>
      <c r="I8" s="7">
        <f t="shared" si="0"/>
        <v>10</v>
      </c>
      <c r="J8" s="7">
        <f t="shared" si="1"/>
        <v>100</v>
      </c>
      <c r="K8" s="3">
        <v>9.9999999999999982</v>
      </c>
      <c r="L8" s="5">
        <f>F8*K8+G8*H8</f>
        <v>2719</v>
      </c>
      <c r="M8" s="5" t="e">
        <f t="shared" si="2"/>
        <v>#VALUE!</v>
      </c>
      <c r="N8" s="7" t="e">
        <f>G8*$H$12</f>
        <v>#VALUE!</v>
      </c>
      <c r="O8" s="5" t="e">
        <f>M8+N8</f>
        <v>#VALUE!</v>
      </c>
    </row>
    <row r="9" spans="3:15" x14ac:dyDescent="0.35">
      <c r="C9" s="1"/>
      <c r="D9" s="1"/>
      <c r="E9" s="1"/>
      <c r="F9" s="1" t="s">
        <v>44</v>
      </c>
      <c r="G9" s="1">
        <f>SUM(G7:G8)</f>
        <v>2</v>
      </c>
      <c r="H9" s="1"/>
      <c r="I9" s="1"/>
      <c r="J9" s="1" t="s">
        <v>11</v>
      </c>
      <c r="K9" s="5">
        <f>SUM(K6:K8)</f>
        <v>300</v>
      </c>
      <c r="L9" s="6">
        <f>SUM(L6:L8)</f>
        <v>17899</v>
      </c>
    </row>
    <row r="11" spans="3:15" ht="29" x14ac:dyDescent="0.35">
      <c r="C11" s="16" t="s">
        <v>124</v>
      </c>
      <c r="D11" s="16" t="s">
        <v>70</v>
      </c>
      <c r="E11" s="16" t="s">
        <v>71</v>
      </c>
      <c r="F11" s="16" t="s">
        <v>19</v>
      </c>
      <c r="G11" s="16" t="s">
        <v>5</v>
      </c>
      <c r="H11" s="16" t="s">
        <v>45</v>
      </c>
    </row>
    <row r="12" spans="3:15" x14ac:dyDescent="0.35">
      <c r="C12" s="5">
        <f>K6</f>
        <v>139</v>
      </c>
      <c r="D12" s="2">
        <v>100</v>
      </c>
      <c r="E12" s="2">
        <v>20</v>
      </c>
      <c r="F12" s="7">
        <f>D12+G9*E12</f>
        <v>140</v>
      </c>
      <c r="G12" s="12" t="s">
        <v>75</v>
      </c>
      <c r="H12" s="7" t="e">
        <f>-E12*G12</f>
        <v>#VALUE!</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election activeCell="L19" sqref="L19"/>
    </sheetView>
  </sheetViews>
  <sheetFormatPr defaultRowHeight="14.5" x14ac:dyDescent="0.35"/>
  <cols>
    <col min="1" max="1" width="2.36328125" customWidth="1"/>
    <col min="2" max="2" width="6.08984375" bestFit="1" customWidth="1"/>
    <col min="3" max="3" width="15.1796875" bestFit="1" customWidth="1"/>
    <col min="4" max="4" width="5.81640625" bestFit="1" customWidth="1"/>
    <col min="5" max="5" width="8.36328125" bestFit="1" customWidth="1"/>
    <col min="6" max="6" width="10.08984375" bestFit="1" customWidth="1"/>
    <col min="7" max="8" width="9.1796875" bestFit="1" customWidth="1"/>
  </cols>
  <sheetData>
    <row r="1" spans="1:8" x14ac:dyDescent="0.35">
      <c r="A1" s="8" t="s">
        <v>14</v>
      </c>
    </row>
    <row r="2" spans="1:8" x14ac:dyDescent="0.35">
      <c r="A2" s="8" t="s">
        <v>137</v>
      </c>
    </row>
    <row r="3" spans="1:8" x14ac:dyDescent="0.35">
      <c r="A3" s="8" t="s">
        <v>138</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37</v>
      </c>
      <c r="C9" s="9" t="s">
        <v>24</v>
      </c>
      <c r="D9" s="9">
        <v>139</v>
      </c>
      <c r="E9" s="9">
        <v>-100</v>
      </c>
      <c r="F9" s="9">
        <v>0</v>
      </c>
      <c r="G9" s="9">
        <v>100</v>
      </c>
      <c r="H9" s="9">
        <v>1E+30</v>
      </c>
    </row>
    <row r="10" spans="1:8" x14ac:dyDescent="0.35">
      <c r="B10" s="9" t="s">
        <v>38</v>
      </c>
      <c r="C10" s="9" t="s">
        <v>25</v>
      </c>
      <c r="D10" s="9">
        <v>151</v>
      </c>
      <c r="E10" s="9">
        <v>0</v>
      </c>
      <c r="F10" s="9">
        <v>100</v>
      </c>
      <c r="G10" s="9">
        <v>22</v>
      </c>
      <c r="H10" s="9">
        <v>100</v>
      </c>
    </row>
    <row r="11" spans="1:8" ht="15" thickBot="1" x14ac:dyDescent="0.4">
      <c r="B11" s="10" t="s">
        <v>39</v>
      </c>
      <c r="C11" s="10" t="s">
        <v>26</v>
      </c>
      <c r="D11" s="10">
        <v>10</v>
      </c>
      <c r="E11" s="9">
        <v>22</v>
      </c>
      <c r="F11" s="10">
        <v>122</v>
      </c>
      <c r="G11" s="10">
        <v>1E+30</v>
      </c>
      <c r="H11" s="10">
        <v>22</v>
      </c>
    </row>
    <row r="13" spans="1:8" ht="15" thickBot="1" x14ac:dyDescent="0.4">
      <c r="A13" t="s">
        <v>21</v>
      </c>
    </row>
    <row r="14" spans="1:8" x14ac:dyDescent="0.35">
      <c r="B14" s="41"/>
      <c r="C14" s="41"/>
      <c r="D14" s="41" t="s">
        <v>18</v>
      </c>
      <c r="E14" s="41" t="s">
        <v>34</v>
      </c>
      <c r="F14" s="41" t="s">
        <v>35</v>
      </c>
      <c r="G14" s="41" t="s">
        <v>31</v>
      </c>
      <c r="H14" s="41" t="s">
        <v>31</v>
      </c>
    </row>
    <row r="15" spans="1:8" ht="15" thickBot="1" x14ac:dyDescent="0.4">
      <c r="B15" s="42" t="s">
        <v>16</v>
      </c>
      <c r="C15" s="42" t="s">
        <v>17</v>
      </c>
      <c r="D15" s="42" t="s">
        <v>19</v>
      </c>
      <c r="E15" s="42" t="s">
        <v>5</v>
      </c>
      <c r="F15" s="42" t="s">
        <v>36</v>
      </c>
      <c r="G15" s="42" t="s">
        <v>32</v>
      </c>
      <c r="H15" s="42" t="s">
        <v>33</v>
      </c>
    </row>
    <row r="16" spans="1:8" x14ac:dyDescent="0.35">
      <c r="B16" s="9" t="s">
        <v>127</v>
      </c>
      <c r="C16" s="9" t="s">
        <v>124</v>
      </c>
      <c r="D16" s="9">
        <v>139</v>
      </c>
      <c r="E16" s="20">
        <v>0</v>
      </c>
      <c r="F16" s="9">
        <v>140</v>
      </c>
      <c r="G16" s="9">
        <v>1E+30</v>
      </c>
      <c r="H16" s="9">
        <v>1</v>
      </c>
    </row>
    <row r="17" spans="2:8" ht="15" thickBot="1" x14ac:dyDescent="0.4">
      <c r="B17" s="10" t="s">
        <v>27</v>
      </c>
      <c r="C17" s="10" t="s">
        <v>40</v>
      </c>
      <c r="D17" s="10">
        <v>300</v>
      </c>
      <c r="E17" s="24">
        <v>100</v>
      </c>
      <c r="F17" s="10">
        <v>300</v>
      </c>
      <c r="G17" s="10">
        <v>49</v>
      </c>
      <c r="H17" s="10">
        <v>151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R13"/>
  <sheetViews>
    <sheetView topLeftCell="B1" workbookViewId="0">
      <selection activeCell="C11" sqref="C11:C12"/>
    </sheetView>
  </sheetViews>
  <sheetFormatPr defaultRowHeight="14.5" x14ac:dyDescent="0.35"/>
  <cols>
    <col min="3" max="3" width="13.81640625" customWidth="1"/>
    <col min="4" max="4" width="14.1796875" customWidth="1"/>
    <col min="5" max="5" width="11" customWidth="1"/>
    <col min="6" max="6" width="8.6328125" customWidth="1"/>
    <col min="7" max="7" width="11.81640625" customWidth="1"/>
    <col min="8" max="8" width="12.08984375" customWidth="1"/>
    <col min="9" max="9" width="9.08984375" customWidth="1"/>
    <col min="10" max="10" width="9.453125" customWidth="1"/>
    <col min="13" max="14" width="8.81640625" customWidth="1"/>
    <col min="16" max="16" width="8" customWidth="1"/>
    <col min="18" max="18" width="14.81640625" customWidth="1"/>
  </cols>
  <sheetData>
    <row r="1" spans="3:18" x14ac:dyDescent="0.35">
      <c r="G1" t="s">
        <v>90</v>
      </c>
    </row>
    <row r="2" spans="3:18" x14ac:dyDescent="0.35">
      <c r="C2" s="1" t="s">
        <v>0</v>
      </c>
      <c r="D2" s="1" t="s">
        <v>43</v>
      </c>
    </row>
    <row r="3" spans="3:18" x14ac:dyDescent="0.35">
      <c r="C3" s="2">
        <v>300</v>
      </c>
      <c r="D3" s="12">
        <f>'#8 Sensitivity Report'!E17</f>
        <v>100</v>
      </c>
    </row>
    <row r="5" spans="3:18" ht="43.5" x14ac:dyDescent="0.35">
      <c r="C5" s="16"/>
      <c r="D5" s="16" t="s">
        <v>4</v>
      </c>
      <c r="E5" s="16" t="s">
        <v>9</v>
      </c>
      <c r="F5" s="16" t="s">
        <v>5</v>
      </c>
      <c r="G5" s="16" t="s">
        <v>6</v>
      </c>
      <c r="H5" s="16" t="s">
        <v>10</v>
      </c>
      <c r="I5" s="16" t="s">
        <v>13</v>
      </c>
      <c r="J5" s="16" t="s">
        <v>28</v>
      </c>
      <c r="K5" s="16" t="s">
        <v>7</v>
      </c>
      <c r="L5" s="16" t="s">
        <v>8</v>
      </c>
      <c r="M5" s="16" t="s">
        <v>47</v>
      </c>
      <c r="N5" s="16" t="s">
        <v>48</v>
      </c>
      <c r="O5" s="16" t="s">
        <v>49</v>
      </c>
      <c r="P5" s="16" t="s">
        <v>46</v>
      </c>
      <c r="Q5" s="16" t="s">
        <v>76</v>
      </c>
      <c r="R5" s="32" t="s">
        <v>91</v>
      </c>
    </row>
    <row r="6" spans="3:18" x14ac:dyDescent="0.35">
      <c r="C6" s="1" t="s">
        <v>3</v>
      </c>
      <c r="D6" s="2">
        <v>139</v>
      </c>
      <c r="E6" s="2">
        <v>0</v>
      </c>
      <c r="F6" s="2">
        <v>0</v>
      </c>
      <c r="G6" s="2">
        <v>1</v>
      </c>
      <c r="H6" s="2">
        <v>0</v>
      </c>
      <c r="I6" s="7">
        <f>G6*E6</f>
        <v>0</v>
      </c>
      <c r="J6" s="7">
        <f>G6*D6</f>
        <v>139</v>
      </c>
      <c r="K6" s="3">
        <v>139</v>
      </c>
      <c r="L6" s="5">
        <f>F6*K6+G6*H6</f>
        <v>0</v>
      </c>
      <c r="M6" s="5">
        <f>K6*$D$3</f>
        <v>13900</v>
      </c>
      <c r="N6" s="2">
        <f>0</f>
        <v>0</v>
      </c>
      <c r="O6" s="5">
        <f>M6+N6</f>
        <v>13900</v>
      </c>
      <c r="P6" s="5">
        <f>K6*F6+G6*H6</f>
        <v>0</v>
      </c>
      <c r="Q6" s="7"/>
      <c r="R6" s="18"/>
    </row>
    <row r="7" spans="3:18" x14ac:dyDescent="0.35">
      <c r="C7" s="1" t="s">
        <v>1</v>
      </c>
      <c r="D7" s="2">
        <v>200</v>
      </c>
      <c r="E7" s="2">
        <v>0</v>
      </c>
      <c r="F7" s="2">
        <v>100</v>
      </c>
      <c r="G7" s="15">
        <v>1</v>
      </c>
      <c r="H7" s="2">
        <v>80</v>
      </c>
      <c r="I7" s="7">
        <f t="shared" ref="I7:I8" si="0">G7*E7</f>
        <v>0</v>
      </c>
      <c r="J7" s="7">
        <f t="shared" ref="J7:J8" si="1">G7*D7</f>
        <v>200</v>
      </c>
      <c r="K7" s="3">
        <v>151</v>
      </c>
      <c r="L7" s="5">
        <f>F7*K7+G7*H7</f>
        <v>15180</v>
      </c>
      <c r="M7" s="5">
        <f t="shared" ref="M7:M8" si="2">K7*$D$3</f>
        <v>15100</v>
      </c>
      <c r="N7" s="7">
        <f>G7*$H$12</f>
        <v>0</v>
      </c>
      <c r="O7" s="5">
        <f>M7+N7</f>
        <v>15100</v>
      </c>
      <c r="P7" s="5">
        <f t="shared" ref="P7:P8" si="3">K7*F7+G7*H7</f>
        <v>15180</v>
      </c>
      <c r="Q7" s="5">
        <f>O7-P7</f>
        <v>-80</v>
      </c>
      <c r="R7" s="18"/>
    </row>
    <row r="8" spans="3:18" x14ac:dyDescent="0.35">
      <c r="C8" s="1" t="s">
        <v>2</v>
      </c>
      <c r="D8" s="2">
        <v>100</v>
      </c>
      <c r="E8" s="2">
        <v>10</v>
      </c>
      <c r="F8" s="2">
        <v>122</v>
      </c>
      <c r="G8" s="15">
        <v>1</v>
      </c>
      <c r="H8" s="2">
        <v>1499</v>
      </c>
      <c r="I8" s="7">
        <f t="shared" si="0"/>
        <v>10</v>
      </c>
      <c r="J8" s="7">
        <f t="shared" si="1"/>
        <v>100</v>
      </c>
      <c r="K8" s="3">
        <v>10</v>
      </c>
      <c r="L8" s="5">
        <f>F8*K8+G8*H8</f>
        <v>2719</v>
      </c>
      <c r="M8" s="5">
        <f t="shared" si="2"/>
        <v>1000</v>
      </c>
      <c r="N8" s="7">
        <f>G8*$H$12</f>
        <v>0</v>
      </c>
      <c r="O8" s="5">
        <f>M8+N8</f>
        <v>1000</v>
      </c>
      <c r="P8" s="5">
        <f t="shared" si="3"/>
        <v>2719</v>
      </c>
      <c r="Q8" s="5">
        <f>O8-P8</f>
        <v>-1719</v>
      </c>
      <c r="R8" s="18"/>
    </row>
    <row r="9" spans="3:18" x14ac:dyDescent="0.35">
      <c r="C9" s="1"/>
      <c r="D9" s="1"/>
      <c r="E9" s="1"/>
      <c r="F9" s="1" t="s">
        <v>44</v>
      </c>
      <c r="G9" s="1">
        <f>SUM(G7:G8)</f>
        <v>2</v>
      </c>
      <c r="H9" s="1"/>
      <c r="I9" s="1"/>
      <c r="J9" s="1" t="s">
        <v>11</v>
      </c>
      <c r="K9" s="5">
        <f>SUM(K6:K8)</f>
        <v>300</v>
      </c>
      <c r="L9" s="6">
        <f>SUM(L6:L8)</f>
        <v>17899</v>
      </c>
    </row>
    <row r="11" spans="3:18" ht="43.5" x14ac:dyDescent="0.35">
      <c r="C11" s="16" t="s">
        <v>124</v>
      </c>
      <c r="D11" s="16" t="s">
        <v>70</v>
      </c>
      <c r="E11" s="16" t="s">
        <v>71</v>
      </c>
      <c r="F11" s="16" t="s">
        <v>19</v>
      </c>
      <c r="G11" s="16" t="s">
        <v>5</v>
      </c>
      <c r="H11" s="16" t="s">
        <v>73</v>
      </c>
    </row>
    <row r="12" spans="3:18" x14ac:dyDescent="0.35">
      <c r="C12" s="5">
        <f>K6</f>
        <v>139</v>
      </c>
      <c r="D12" s="2">
        <v>100</v>
      </c>
      <c r="E12" s="2">
        <v>20</v>
      </c>
      <c r="F12" s="7">
        <f>D12+G9*E12</f>
        <v>140</v>
      </c>
      <c r="G12" s="12">
        <f>'#8 Sensitivity Report'!E16</f>
        <v>0</v>
      </c>
      <c r="H12" s="7">
        <f>-E12*G12</f>
        <v>0</v>
      </c>
    </row>
    <row r="13" spans="3:18" x14ac:dyDescent="0.35">
      <c r="G13" t="s">
        <v>53</v>
      </c>
    </row>
  </sheetData>
  <conditionalFormatting sqref="Q6:Q8">
    <cfRule type="expression" dxfId="0" priority="1">
      <formula>Q6&lt;-0.00001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topLeftCell="A5" workbookViewId="0">
      <selection activeCell="E20" sqref="E20:E21"/>
    </sheetView>
  </sheetViews>
  <sheetFormatPr defaultRowHeight="14.5" x14ac:dyDescent="0.35"/>
  <cols>
    <col min="1" max="1" width="2.36328125" customWidth="1"/>
    <col min="2" max="2" width="6.08984375" bestFit="1" customWidth="1"/>
    <col min="3" max="3" width="24.453125" bestFit="1" customWidth="1"/>
    <col min="4" max="4" width="5.81640625" bestFit="1" customWidth="1"/>
    <col min="5" max="5" width="8.36328125" bestFit="1" customWidth="1"/>
    <col min="6" max="6" width="10.08984375" bestFit="1" customWidth="1"/>
    <col min="7" max="7" width="9.1796875" bestFit="1" customWidth="1"/>
    <col min="8" max="8" width="12" bestFit="1" customWidth="1"/>
  </cols>
  <sheetData>
    <row r="1" spans="1:8" x14ac:dyDescent="0.35">
      <c r="A1" s="8" t="s">
        <v>14</v>
      </c>
    </row>
    <row r="2" spans="1:8" x14ac:dyDescent="0.35">
      <c r="A2" s="8" t="s">
        <v>139</v>
      </c>
    </row>
    <row r="3" spans="1:8" x14ac:dyDescent="0.35">
      <c r="A3" s="8" t="s">
        <v>140</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-1919.999999999998</v>
      </c>
      <c r="F9" s="9">
        <v>80</v>
      </c>
      <c r="G9" s="9">
        <v>1919.999999999998</v>
      </c>
      <c r="H9" s="9">
        <v>1E+30</v>
      </c>
    </row>
    <row r="10" spans="1:8" x14ac:dyDescent="0.35">
      <c r="B10" s="9" t="s">
        <v>22</v>
      </c>
      <c r="C10" s="9" t="s">
        <v>23</v>
      </c>
      <c r="D10" s="9">
        <v>1</v>
      </c>
      <c r="E10" s="20">
        <v>-0.99999999999919709</v>
      </c>
      <c r="F10" s="9">
        <v>1499</v>
      </c>
      <c r="G10" s="9">
        <v>0.99999999999919709</v>
      </c>
      <c r="H10" s="9">
        <v>1E+30</v>
      </c>
    </row>
    <row r="11" spans="1:8" x14ac:dyDescent="0.35">
      <c r="B11" s="9" t="s">
        <v>55</v>
      </c>
      <c r="C11" s="9" t="s">
        <v>56</v>
      </c>
      <c r="D11" s="9">
        <v>1</v>
      </c>
      <c r="E11" s="20">
        <v>-1</v>
      </c>
      <c r="F11" s="9">
        <v>1399</v>
      </c>
      <c r="G11" s="9">
        <v>1</v>
      </c>
      <c r="H11" s="9">
        <v>1E+30</v>
      </c>
    </row>
    <row r="12" spans="1:8" x14ac:dyDescent="0.35">
      <c r="B12" s="9" t="s">
        <v>37</v>
      </c>
      <c r="C12" s="9" t="s">
        <v>24</v>
      </c>
      <c r="D12" s="9">
        <v>159.99999999999994</v>
      </c>
      <c r="E12" s="9">
        <v>0</v>
      </c>
      <c r="F12" s="9">
        <v>0</v>
      </c>
      <c r="G12" s="9">
        <v>4.9999999999959854E-2</v>
      </c>
      <c r="H12" s="9">
        <v>1E+30</v>
      </c>
    </row>
    <row r="13" spans="1:8" x14ac:dyDescent="0.35">
      <c r="B13" s="9" t="s">
        <v>38</v>
      </c>
      <c r="C13" s="9" t="s">
        <v>25</v>
      </c>
      <c r="D13" s="9">
        <v>135.00000000000006</v>
      </c>
      <c r="E13" s="9">
        <v>0</v>
      </c>
      <c r="F13" s="9">
        <v>100</v>
      </c>
      <c r="G13" s="9">
        <v>50.000000000000028</v>
      </c>
      <c r="H13" s="9">
        <v>3.333333333330657E-2</v>
      </c>
    </row>
    <row r="14" spans="1:8" x14ac:dyDescent="0.35">
      <c r="B14" s="9" t="s">
        <v>39</v>
      </c>
      <c r="C14" s="9" t="s">
        <v>26</v>
      </c>
      <c r="D14" s="9">
        <v>9.9999999999999982</v>
      </c>
      <c r="E14" s="9">
        <v>0</v>
      </c>
      <c r="F14" s="9">
        <v>150</v>
      </c>
      <c r="G14" s="9">
        <v>9.9999999999919723E-2</v>
      </c>
      <c r="H14" s="9">
        <v>50.000000000000028</v>
      </c>
    </row>
    <row r="15" spans="1:8" ht="15" thickBot="1" x14ac:dyDescent="0.4">
      <c r="B15" s="10" t="s">
        <v>27</v>
      </c>
      <c r="C15" s="10" t="s">
        <v>57</v>
      </c>
      <c r="D15" s="10">
        <v>5</v>
      </c>
      <c r="E15" s="10">
        <v>0</v>
      </c>
      <c r="F15" s="10">
        <v>20</v>
      </c>
      <c r="G15" s="10">
        <v>0.2</v>
      </c>
      <c r="H15" s="10">
        <v>120</v>
      </c>
    </row>
    <row r="17" spans="1:8" ht="15" thickBot="1" x14ac:dyDescent="0.4">
      <c r="A17" t="s">
        <v>21</v>
      </c>
    </row>
    <row r="18" spans="1:8" x14ac:dyDescent="0.35">
      <c r="B18" s="41"/>
      <c r="C18" s="41"/>
      <c r="D18" s="41" t="s">
        <v>18</v>
      </c>
      <c r="E18" s="41" t="s">
        <v>34</v>
      </c>
      <c r="F18" s="41" t="s">
        <v>35</v>
      </c>
      <c r="G18" s="41" t="s">
        <v>31</v>
      </c>
      <c r="H18" s="41" t="s">
        <v>31</v>
      </c>
    </row>
    <row r="19" spans="1:8" ht="15" thickBot="1" x14ac:dyDescent="0.4">
      <c r="B19" s="42" t="s">
        <v>16</v>
      </c>
      <c r="C19" s="42" t="s">
        <v>17</v>
      </c>
      <c r="D19" s="42" t="s">
        <v>19</v>
      </c>
      <c r="E19" s="42" t="s">
        <v>5</v>
      </c>
      <c r="F19" s="42" t="s">
        <v>36</v>
      </c>
      <c r="G19" s="42" t="s">
        <v>32</v>
      </c>
      <c r="H19" s="42" t="s">
        <v>33</v>
      </c>
    </row>
    <row r="20" spans="1:8" x14ac:dyDescent="0.35">
      <c r="B20" s="9" t="s">
        <v>60</v>
      </c>
      <c r="C20" s="9" t="s">
        <v>61</v>
      </c>
      <c r="D20" s="9">
        <v>300</v>
      </c>
      <c r="E20" s="20">
        <v>100</v>
      </c>
      <c r="F20" s="9">
        <v>300</v>
      </c>
      <c r="G20" s="9">
        <v>64.999999999999943</v>
      </c>
      <c r="H20" s="9">
        <v>135.00000000000006</v>
      </c>
    </row>
    <row r="21" spans="1:8" x14ac:dyDescent="0.35">
      <c r="B21" s="9" t="s">
        <v>92</v>
      </c>
      <c r="C21" s="9" t="s">
        <v>124</v>
      </c>
      <c r="D21" s="9">
        <v>159.99999999999994</v>
      </c>
      <c r="E21" s="20">
        <v>-99.999999999999986</v>
      </c>
      <c r="F21" s="9">
        <v>0</v>
      </c>
      <c r="G21" s="9">
        <v>10.000000000000062</v>
      </c>
      <c r="H21" s="9">
        <v>64.999999999999957</v>
      </c>
    </row>
    <row r="22" spans="1:8" x14ac:dyDescent="0.35">
      <c r="B22" s="9" t="s">
        <v>37</v>
      </c>
      <c r="C22" s="9" t="s">
        <v>24</v>
      </c>
      <c r="D22" s="9">
        <v>159.99999999999994</v>
      </c>
      <c r="E22" s="9">
        <v>0</v>
      </c>
      <c r="F22" s="9">
        <v>0</v>
      </c>
      <c r="G22" s="9">
        <v>1E+30</v>
      </c>
      <c r="H22" s="9">
        <v>10.00000000000006</v>
      </c>
    </row>
    <row r="23" spans="1:8" x14ac:dyDescent="0.35">
      <c r="B23" s="9" t="s">
        <v>38</v>
      </c>
      <c r="C23" s="9" t="s">
        <v>25</v>
      </c>
      <c r="D23" s="9">
        <v>135.00000000000006</v>
      </c>
      <c r="E23" s="9">
        <v>0</v>
      </c>
      <c r="F23" s="9">
        <v>0</v>
      </c>
      <c r="G23" s="9">
        <v>1E+30</v>
      </c>
      <c r="H23" s="9">
        <v>64.999999999999943</v>
      </c>
    </row>
    <row r="24" spans="1:8" x14ac:dyDescent="0.35">
      <c r="B24" s="9" t="s">
        <v>39</v>
      </c>
      <c r="C24" s="9" t="s">
        <v>26</v>
      </c>
      <c r="D24" s="9">
        <v>9.9999999999999982</v>
      </c>
      <c r="E24" s="9">
        <v>0</v>
      </c>
      <c r="F24" s="9">
        <v>0</v>
      </c>
      <c r="G24" s="9">
        <v>1E+30</v>
      </c>
      <c r="H24" s="9">
        <v>90</v>
      </c>
    </row>
    <row r="25" spans="1:8" x14ac:dyDescent="0.35">
      <c r="B25" s="9" t="s">
        <v>27</v>
      </c>
      <c r="C25" s="9" t="s">
        <v>57</v>
      </c>
      <c r="D25" s="9">
        <v>5</v>
      </c>
      <c r="E25" s="9">
        <v>0</v>
      </c>
      <c r="F25" s="9">
        <v>0</v>
      </c>
      <c r="G25" s="9">
        <v>1E+30</v>
      </c>
      <c r="H25" s="9">
        <v>0</v>
      </c>
    </row>
    <row r="26" spans="1:8" x14ac:dyDescent="0.35">
      <c r="B26" s="9" t="s">
        <v>37</v>
      </c>
      <c r="C26" s="9" t="s">
        <v>24</v>
      </c>
      <c r="D26" s="9">
        <v>159.99999999999994</v>
      </c>
      <c r="E26" s="9">
        <v>0</v>
      </c>
      <c r="F26" s="9">
        <v>0</v>
      </c>
      <c r="G26" s="9">
        <v>159.99999999999994</v>
      </c>
      <c r="H26" s="9">
        <v>1E+30</v>
      </c>
    </row>
    <row r="27" spans="1:8" x14ac:dyDescent="0.35">
      <c r="B27" s="9" t="s">
        <v>38</v>
      </c>
      <c r="C27" s="9" t="s">
        <v>25</v>
      </c>
      <c r="D27" s="9">
        <v>135.00000000000006</v>
      </c>
      <c r="E27" s="9">
        <v>0</v>
      </c>
      <c r="F27" s="9">
        <v>0</v>
      </c>
      <c r="G27" s="9">
        <v>135.00000000000006</v>
      </c>
      <c r="H27" s="9">
        <v>1E+30</v>
      </c>
    </row>
    <row r="28" spans="1:8" x14ac:dyDescent="0.35">
      <c r="B28" s="9" t="s">
        <v>39</v>
      </c>
      <c r="C28" s="9" t="s">
        <v>26</v>
      </c>
      <c r="D28" s="9">
        <v>9.9999999999999982</v>
      </c>
      <c r="E28" s="9">
        <v>50.000000000000028</v>
      </c>
      <c r="F28" s="9">
        <v>0</v>
      </c>
      <c r="G28" s="9">
        <v>90</v>
      </c>
      <c r="H28" s="9">
        <v>9.9999999999999982</v>
      </c>
    </row>
    <row r="29" spans="1:8" ht="15" thickBot="1" x14ac:dyDescent="0.4">
      <c r="B29" s="10" t="s">
        <v>27</v>
      </c>
      <c r="C29" s="10" t="s">
        <v>57</v>
      </c>
      <c r="D29" s="10">
        <v>5</v>
      </c>
      <c r="E29" s="10">
        <v>120</v>
      </c>
      <c r="F29" s="10">
        <v>0</v>
      </c>
      <c r="G29" s="10">
        <v>0</v>
      </c>
      <c r="H29" s="10">
        <v>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3"/>
  <sheetViews>
    <sheetView topLeftCell="C1" workbookViewId="0">
      <selection activeCell="C12" sqref="C12:C13"/>
    </sheetView>
  </sheetViews>
  <sheetFormatPr defaultRowHeight="14.5" x14ac:dyDescent="0.35"/>
  <cols>
    <col min="3" max="3" width="13.81640625" customWidth="1"/>
    <col min="4" max="4" width="14.08984375" customWidth="1"/>
    <col min="5" max="5" width="12.1796875" customWidth="1"/>
    <col min="6" max="6" width="10.08984375" customWidth="1"/>
    <col min="7" max="7" width="13.36328125" customWidth="1"/>
    <col min="8" max="8" width="14.36328125" customWidth="1"/>
    <col min="9" max="9" width="9.81640625" customWidth="1"/>
    <col min="10" max="10" width="9.54296875" customWidth="1"/>
    <col min="12" max="12" width="10.36328125" customWidth="1"/>
    <col min="14" max="14" width="11.81640625" customWidth="1"/>
    <col min="15" max="15" width="8.6328125" customWidth="1"/>
    <col min="17" max="17" width="10.54296875" customWidth="1"/>
    <col min="19" max="19" width="14.1796875" customWidth="1"/>
  </cols>
  <sheetData>
    <row r="1" spans="3:19" x14ac:dyDescent="0.35">
      <c r="G1" t="s">
        <v>51</v>
      </c>
    </row>
    <row r="2" spans="3:19" x14ac:dyDescent="0.35">
      <c r="C2" s="1" t="s">
        <v>0</v>
      </c>
      <c r="D2" s="1" t="s">
        <v>43</v>
      </c>
    </row>
    <row r="3" spans="3:19" x14ac:dyDescent="0.35">
      <c r="C3" s="2">
        <v>300</v>
      </c>
      <c r="D3" s="12">
        <f>'#9 Sensitivity Report'!E20</f>
        <v>100</v>
      </c>
    </row>
    <row r="5" spans="3:19" s="33" customFormat="1"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row>
    <row r="6" spans="3:19" x14ac:dyDescent="0.35">
      <c r="C6" s="1" t="s">
        <v>3</v>
      </c>
      <c r="D6" s="2">
        <v>170</v>
      </c>
      <c r="E6" s="2">
        <v>0</v>
      </c>
      <c r="F6" s="2">
        <v>0</v>
      </c>
      <c r="G6" s="2">
        <v>1</v>
      </c>
      <c r="H6" s="2">
        <v>0</v>
      </c>
      <c r="I6" s="7">
        <f>G6*E6</f>
        <v>0</v>
      </c>
      <c r="J6" s="7">
        <f>G6*D6</f>
        <v>170</v>
      </c>
      <c r="K6" s="13">
        <v>159.99999999999994</v>
      </c>
      <c r="L6" s="5">
        <f>K6</f>
        <v>159.99999999999994</v>
      </c>
      <c r="M6" s="5">
        <f>F6*K6+G6*H6</f>
        <v>0</v>
      </c>
      <c r="N6" s="5">
        <f>K6*$D$3</f>
        <v>15999.999999999995</v>
      </c>
      <c r="O6" s="2">
        <f>0</f>
        <v>0</v>
      </c>
      <c r="P6" s="5">
        <f>N6+O6</f>
        <v>15999.999999999995</v>
      </c>
      <c r="Q6" s="5">
        <f>K6*F6+G6*H6</f>
        <v>0</v>
      </c>
      <c r="R6" s="7"/>
      <c r="S6" s="18"/>
    </row>
    <row r="7" spans="3:19" x14ac:dyDescent="0.35">
      <c r="C7" s="1" t="s">
        <v>1</v>
      </c>
      <c r="D7" s="2">
        <v>200</v>
      </c>
      <c r="E7" s="2">
        <v>0</v>
      </c>
      <c r="F7" s="2">
        <v>100</v>
      </c>
      <c r="G7" s="4">
        <v>1</v>
      </c>
      <c r="H7" s="2">
        <v>80</v>
      </c>
      <c r="I7" s="7">
        <f t="shared" ref="I7:I9" si="0">G7*E7</f>
        <v>0</v>
      </c>
      <c r="J7" s="7">
        <f t="shared" ref="J7:J9" si="1">G7*D7</f>
        <v>200</v>
      </c>
      <c r="K7" s="13">
        <v>135.00000000000006</v>
      </c>
      <c r="L7" s="5">
        <f t="shared" ref="L7:L8" si="2">K7</f>
        <v>135.00000000000006</v>
      </c>
      <c r="M7" s="5">
        <f>F7*K7+G7*H7</f>
        <v>13580.000000000005</v>
      </c>
      <c r="N7" s="5">
        <f t="shared" ref="N7" si="3">K7*$D$3</f>
        <v>13500.000000000005</v>
      </c>
      <c r="O7" s="7">
        <f>G7*$H$13</f>
        <v>1999.9999999999998</v>
      </c>
      <c r="P7" s="5">
        <f>N7+O7</f>
        <v>15500.000000000005</v>
      </c>
      <c r="Q7" s="5">
        <f t="shared" ref="Q7" si="4">K7*F7+G7*H7</f>
        <v>13580.000000000005</v>
      </c>
      <c r="R7" s="5">
        <f>P7-Q7</f>
        <v>1920</v>
      </c>
      <c r="S7" s="18">
        <f>-'#9 Sensitivity Report'!E9</f>
        <v>1919.999999999998</v>
      </c>
    </row>
    <row r="8" spans="3:19" x14ac:dyDescent="0.35">
      <c r="C8" s="1" t="s">
        <v>2</v>
      </c>
      <c r="D8" s="2">
        <v>100</v>
      </c>
      <c r="E8" s="2">
        <v>10</v>
      </c>
      <c r="F8" s="2">
        <v>150</v>
      </c>
      <c r="G8" s="4">
        <v>1</v>
      </c>
      <c r="H8" s="2">
        <v>1499</v>
      </c>
      <c r="I8" s="7">
        <f t="shared" si="0"/>
        <v>10</v>
      </c>
      <c r="J8" s="7">
        <f t="shared" ref="J8" si="5">G8*D8</f>
        <v>100</v>
      </c>
      <c r="K8" s="13">
        <v>9.9999999999999982</v>
      </c>
      <c r="L8" s="5">
        <f t="shared" si="2"/>
        <v>9.9999999999999982</v>
      </c>
      <c r="M8" s="5">
        <f>F8*K8+G8*H8</f>
        <v>2999</v>
      </c>
      <c r="N8" s="5">
        <f t="shared" ref="N8" si="6">K8*$D$3</f>
        <v>999.99999999999977</v>
      </c>
      <c r="O8" s="7">
        <f>G8*$H$13</f>
        <v>1999.9999999999998</v>
      </c>
      <c r="P8" s="5">
        <f>N8+O8</f>
        <v>2999.9999999999995</v>
      </c>
      <c r="Q8" s="5">
        <f t="shared" ref="Q8" si="7">K8*F8+G8*H8</f>
        <v>2999</v>
      </c>
      <c r="R8" s="5">
        <f>P8-Q8</f>
        <v>0.99999999999954525</v>
      </c>
      <c r="S8" s="18">
        <f>-'#9 Sensitivity Report'!E10</f>
        <v>0.99999999999919709</v>
      </c>
    </row>
    <row r="9" spans="3:19" x14ac:dyDescent="0.35">
      <c r="C9" s="1" t="s">
        <v>54</v>
      </c>
      <c r="D9" s="2">
        <v>5</v>
      </c>
      <c r="E9" s="2">
        <v>5</v>
      </c>
      <c r="F9" s="2">
        <v>-20</v>
      </c>
      <c r="G9" s="4">
        <v>1</v>
      </c>
      <c r="H9" s="2">
        <v>1399</v>
      </c>
      <c r="I9" s="7">
        <f t="shared" si="0"/>
        <v>5</v>
      </c>
      <c r="J9" s="7">
        <f t="shared" si="1"/>
        <v>5</v>
      </c>
      <c r="K9" s="13">
        <v>5</v>
      </c>
      <c r="L9" s="5">
        <f>-K9</f>
        <v>-5</v>
      </c>
      <c r="M9" s="5">
        <f>-F9*K9+G9*H9</f>
        <v>1499</v>
      </c>
      <c r="N9" s="5">
        <f>-K9*$D$3</f>
        <v>-500</v>
      </c>
      <c r="O9" s="7">
        <f>G9*$H$13</f>
        <v>1999.9999999999998</v>
      </c>
      <c r="P9" s="5">
        <f>N9+O9</f>
        <v>1499.9999999999998</v>
      </c>
      <c r="Q9" s="5">
        <f>-K9*F9+G9*H9</f>
        <v>1499</v>
      </c>
      <c r="R9" s="5">
        <f>P9-Q9</f>
        <v>0.99999999999977263</v>
      </c>
      <c r="S9" s="18">
        <f>-'#9 Sensitivity Report'!E11</f>
        <v>1</v>
      </c>
    </row>
    <row r="10" spans="3:19" x14ac:dyDescent="0.35">
      <c r="C10" s="1"/>
      <c r="D10" s="1"/>
      <c r="E10" s="1"/>
      <c r="F10" s="1" t="s">
        <v>44</v>
      </c>
      <c r="G10" s="1">
        <f>SUM(G7:G9)</f>
        <v>3</v>
      </c>
      <c r="H10" s="1"/>
      <c r="I10" s="1"/>
      <c r="J10" s="1" t="s">
        <v>11</v>
      </c>
      <c r="K10" s="1"/>
      <c r="L10" s="14">
        <f>SUM(L6:L9)</f>
        <v>300</v>
      </c>
      <c r="M10" s="6">
        <f>SUM(M6:M9)</f>
        <v>18078.000000000007</v>
      </c>
    </row>
    <row r="12" spans="3:19" ht="43.5" x14ac:dyDescent="0.35">
      <c r="C12" s="16" t="s">
        <v>124</v>
      </c>
      <c r="D12" s="16" t="s">
        <v>70</v>
      </c>
      <c r="E12" s="16" t="s">
        <v>71</v>
      </c>
      <c r="F12" s="16" t="s">
        <v>19</v>
      </c>
      <c r="G12" s="16" t="s">
        <v>5</v>
      </c>
      <c r="H12" s="16" t="s">
        <v>73</v>
      </c>
    </row>
    <row r="13" spans="3:19" x14ac:dyDescent="0.35">
      <c r="C13" s="5">
        <f>K6</f>
        <v>159.99999999999994</v>
      </c>
      <c r="D13" s="2">
        <v>100</v>
      </c>
      <c r="E13" s="2">
        <v>20</v>
      </c>
      <c r="F13" s="7">
        <f>D13+G10*E13</f>
        <v>160</v>
      </c>
      <c r="G13" s="12">
        <f>'#9 Sensitivity Report'!E21</f>
        <v>-99.999999999999986</v>
      </c>
      <c r="H13" s="7">
        <f>-E13*G13</f>
        <v>1999.9999999999998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3" workbookViewId="0">
      <selection activeCell="E30" sqref="E30"/>
    </sheetView>
  </sheetViews>
  <sheetFormatPr defaultRowHeight="14.5" x14ac:dyDescent="0.35"/>
  <cols>
    <col min="1" max="1" width="2.36328125" customWidth="1"/>
    <col min="2" max="2" width="6.1796875" bestFit="1" customWidth="1"/>
    <col min="3" max="3" width="34.54296875" bestFit="1" customWidth="1"/>
    <col min="4" max="4" width="5.81640625" bestFit="1" customWidth="1"/>
    <col min="5" max="5" width="12.6328125" bestFit="1" customWidth="1"/>
    <col min="6" max="6" width="10.08984375" bestFit="1" customWidth="1"/>
    <col min="7" max="8" width="12" bestFit="1" customWidth="1"/>
  </cols>
  <sheetData>
    <row r="1" spans="1:8" x14ac:dyDescent="0.35">
      <c r="A1" s="8" t="s">
        <v>14</v>
      </c>
    </row>
    <row r="2" spans="1:8" x14ac:dyDescent="0.35">
      <c r="A2" s="8" t="s">
        <v>141</v>
      </c>
    </row>
    <row r="3" spans="1:8" x14ac:dyDescent="0.35">
      <c r="A3" s="8" t="s">
        <v>142</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-1919.999999999998</v>
      </c>
      <c r="F9" s="9">
        <v>80</v>
      </c>
      <c r="G9" s="9">
        <v>1919.999999999998</v>
      </c>
      <c r="H9" s="9">
        <v>1E+30</v>
      </c>
    </row>
    <row r="10" spans="1:8" x14ac:dyDescent="0.35">
      <c r="B10" s="9" t="s">
        <v>22</v>
      </c>
      <c r="C10" s="9" t="s">
        <v>65</v>
      </c>
      <c r="D10" s="9">
        <v>0</v>
      </c>
      <c r="E10" s="20">
        <v>0</v>
      </c>
      <c r="F10" s="9">
        <v>1499</v>
      </c>
      <c r="G10" s="9">
        <v>1E+30</v>
      </c>
      <c r="H10" s="9">
        <v>3.5596525727044082E-14</v>
      </c>
    </row>
    <row r="11" spans="1:8" x14ac:dyDescent="0.35">
      <c r="B11" s="9" t="s">
        <v>55</v>
      </c>
      <c r="C11" s="9" t="s">
        <v>66</v>
      </c>
      <c r="D11" s="9">
        <v>1</v>
      </c>
      <c r="E11" s="20">
        <v>0</v>
      </c>
      <c r="F11" s="9">
        <v>1399</v>
      </c>
      <c r="G11" s="9">
        <v>3.5596525727044075E-14</v>
      </c>
      <c r="H11" s="9">
        <v>1E+30</v>
      </c>
    </row>
    <row r="12" spans="1:8" x14ac:dyDescent="0.35">
      <c r="B12" s="9" t="s">
        <v>37</v>
      </c>
      <c r="C12" s="9" t="s">
        <v>24</v>
      </c>
      <c r="D12" s="9">
        <v>139.99999999999994</v>
      </c>
      <c r="E12" s="9">
        <v>0</v>
      </c>
      <c r="F12" s="9">
        <v>0</v>
      </c>
      <c r="G12" s="9">
        <v>4.9999999999961631E-2</v>
      </c>
      <c r="H12" s="9">
        <v>1E+30</v>
      </c>
    </row>
    <row r="13" spans="1:8" x14ac:dyDescent="0.35">
      <c r="B13" s="9" t="s">
        <v>38</v>
      </c>
      <c r="C13" s="9" t="s">
        <v>25</v>
      </c>
      <c r="D13" s="9">
        <v>165.00000000000006</v>
      </c>
      <c r="E13" s="9">
        <v>0</v>
      </c>
      <c r="F13" s="9">
        <v>100</v>
      </c>
      <c r="G13" s="9">
        <v>2.3731017151362725E-15</v>
      </c>
      <c r="H13" s="9">
        <v>6.6666666666615512E-2</v>
      </c>
    </row>
    <row r="14" spans="1:8" x14ac:dyDescent="0.35">
      <c r="B14" s="9" t="s">
        <v>39</v>
      </c>
      <c r="C14" s="9" t="s">
        <v>67</v>
      </c>
      <c r="D14" s="9">
        <v>0</v>
      </c>
      <c r="E14" s="9">
        <v>0</v>
      </c>
      <c r="F14" s="9">
        <v>150</v>
      </c>
      <c r="G14" s="9">
        <v>1E+30</v>
      </c>
      <c r="H14" s="9">
        <v>3.5596525727044089E-15</v>
      </c>
    </row>
    <row r="15" spans="1:8" ht="15" thickBot="1" x14ac:dyDescent="0.4">
      <c r="B15" s="10" t="s">
        <v>27</v>
      </c>
      <c r="C15" s="10" t="s">
        <v>68</v>
      </c>
      <c r="D15" s="10">
        <v>5</v>
      </c>
      <c r="E15" s="10">
        <v>0</v>
      </c>
      <c r="F15" s="10">
        <v>20</v>
      </c>
      <c r="G15" s="10">
        <v>7.1193051454088163E-15</v>
      </c>
      <c r="H15" s="10">
        <v>120</v>
      </c>
    </row>
    <row r="17" spans="1:8" ht="15" thickBot="1" x14ac:dyDescent="0.4">
      <c r="A17" t="s">
        <v>21</v>
      </c>
    </row>
    <row r="18" spans="1:8" x14ac:dyDescent="0.35">
      <c r="B18" s="41"/>
      <c r="C18" s="41"/>
      <c r="D18" s="41" t="s">
        <v>18</v>
      </c>
      <c r="E18" s="41" t="s">
        <v>34</v>
      </c>
      <c r="F18" s="41" t="s">
        <v>35</v>
      </c>
      <c r="G18" s="41" t="s">
        <v>31</v>
      </c>
      <c r="H18" s="41" t="s">
        <v>31</v>
      </c>
    </row>
    <row r="19" spans="1:8" ht="15" thickBot="1" x14ac:dyDescent="0.4">
      <c r="B19" s="42" t="s">
        <v>16</v>
      </c>
      <c r="C19" s="42" t="s">
        <v>17</v>
      </c>
      <c r="D19" s="42" t="s">
        <v>19</v>
      </c>
      <c r="E19" s="42" t="s">
        <v>5</v>
      </c>
      <c r="F19" s="42" t="s">
        <v>36</v>
      </c>
      <c r="G19" s="42" t="s">
        <v>32</v>
      </c>
      <c r="H19" s="42" t="s">
        <v>33</v>
      </c>
    </row>
    <row r="20" spans="1:8" x14ac:dyDescent="0.35">
      <c r="B20" s="9" t="s">
        <v>92</v>
      </c>
      <c r="C20" s="9" t="s">
        <v>124</v>
      </c>
      <c r="D20" s="9">
        <v>139.99999999999994</v>
      </c>
      <c r="E20" s="20">
        <v>-99.999999999999986</v>
      </c>
      <c r="F20" s="9">
        <v>0</v>
      </c>
      <c r="G20" s="9">
        <v>30.00000000000006</v>
      </c>
      <c r="H20" s="9">
        <v>34.999999999999964</v>
      </c>
    </row>
    <row r="21" spans="1:8" x14ac:dyDescent="0.35">
      <c r="B21" s="9" t="s">
        <v>37</v>
      </c>
      <c r="C21" s="9" t="s">
        <v>24</v>
      </c>
      <c r="D21" s="9">
        <v>139.99999999999994</v>
      </c>
      <c r="E21" s="9">
        <v>0</v>
      </c>
      <c r="F21" s="9">
        <v>0</v>
      </c>
      <c r="G21" s="9">
        <v>139.99999999999994</v>
      </c>
      <c r="H21" s="9">
        <v>1E+30</v>
      </c>
    </row>
    <row r="22" spans="1:8" x14ac:dyDescent="0.35">
      <c r="B22" s="9" t="s">
        <v>38</v>
      </c>
      <c r="C22" s="9" t="s">
        <v>25</v>
      </c>
      <c r="D22" s="9">
        <v>165.00000000000006</v>
      </c>
      <c r="E22" s="9">
        <v>0</v>
      </c>
      <c r="F22" s="9">
        <v>0</v>
      </c>
      <c r="G22" s="9">
        <v>165.00000000000006</v>
      </c>
      <c r="H22" s="9">
        <v>1E+30</v>
      </c>
    </row>
    <row r="23" spans="1:8" x14ac:dyDescent="0.35">
      <c r="B23" s="9" t="s">
        <v>39</v>
      </c>
      <c r="C23" s="9" t="s">
        <v>67</v>
      </c>
      <c r="D23" s="9">
        <v>0</v>
      </c>
      <c r="E23" s="9">
        <v>50.000000000000028</v>
      </c>
      <c r="F23" s="9">
        <v>0</v>
      </c>
      <c r="G23" s="9">
        <v>89.999999999999986</v>
      </c>
      <c r="H23" s="9">
        <v>0</v>
      </c>
    </row>
    <row r="24" spans="1:8" x14ac:dyDescent="0.35">
      <c r="B24" s="9" t="s">
        <v>27</v>
      </c>
      <c r="C24" s="9" t="s">
        <v>68</v>
      </c>
      <c r="D24" s="9">
        <v>5</v>
      </c>
      <c r="E24" s="9">
        <v>120</v>
      </c>
      <c r="F24" s="9">
        <v>0</v>
      </c>
      <c r="G24" s="9">
        <v>0</v>
      </c>
      <c r="H24" s="9">
        <v>5</v>
      </c>
    </row>
    <row r="25" spans="1:8" x14ac:dyDescent="0.35">
      <c r="B25" s="9" t="s">
        <v>37</v>
      </c>
      <c r="C25" s="9" t="s">
        <v>24</v>
      </c>
      <c r="D25" s="9">
        <v>139.99999999999994</v>
      </c>
      <c r="E25" s="9">
        <v>0</v>
      </c>
      <c r="F25" s="9">
        <v>0</v>
      </c>
      <c r="G25" s="9">
        <v>1E+30</v>
      </c>
      <c r="H25" s="9">
        <v>30.000000000000057</v>
      </c>
    </row>
    <row r="26" spans="1:8" x14ac:dyDescent="0.35">
      <c r="B26" s="9" t="s">
        <v>38</v>
      </c>
      <c r="C26" s="9" t="s">
        <v>25</v>
      </c>
      <c r="D26" s="9">
        <v>165.00000000000006</v>
      </c>
      <c r="E26" s="9">
        <v>0</v>
      </c>
      <c r="F26" s="9">
        <v>0</v>
      </c>
      <c r="G26" s="9">
        <v>1E+30</v>
      </c>
      <c r="H26" s="9">
        <v>34.999999999999957</v>
      </c>
    </row>
    <row r="27" spans="1:8" x14ac:dyDescent="0.35">
      <c r="B27" s="9" t="s">
        <v>39</v>
      </c>
      <c r="C27" s="9" t="s">
        <v>67</v>
      </c>
      <c r="D27" s="9">
        <v>0</v>
      </c>
      <c r="E27" s="9">
        <v>-3.9551695252271202E-16</v>
      </c>
      <c r="F27" s="9">
        <v>0</v>
      </c>
      <c r="G27" s="9">
        <v>0</v>
      </c>
      <c r="H27" s="9">
        <v>89.999999999999986</v>
      </c>
    </row>
    <row r="28" spans="1:8" x14ac:dyDescent="0.35">
      <c r="B28" s="9" t="s">
        <v>27</v>
      </c>
      <c r="C28" s="9" t="s">
        <v>68</v>
      </c>
      <c r="D28" s="9">
        <v>5</v>
      </c>
      <c r="E28" s="9">
        <v>0</v>
      </c>
      <c r="F28" s="9">
        <v>0</v>
      </c>
      <c r="G28" s="9">
        <v>1E+30</v>
      </c>
      <c r="H28" s="9">
        <v>0</v>
      </c>
    </row>
    <row r="29" spans="1:8" x14ac:dyDescent="0.35">
      <c r="B29" s="9" t="s">
        <v>69</v>
      </c>
      <c r="C29" s="9" t="s">
        <v>72</v>
      </c>
      <c r="D29" s="9">
        <v>1</v>
      </c>
      <c r="E29" s="9">
        <v>-0.99999999999923261</v>
      </c>
      <c r="F29" s="9">
        <v>1</v>
      </c>
      <c r="G29" s="9">
        <v>0</v>
      </c>
      <c r="H29" s="9">
        <v>1</v>
      </c>
    </row>
    <row r="30" spans="1:8" ht="15" thickBot="1" x14ac:dyDescent="0.4">
      <c r="B30" s="10" t="s">
        <v>60</v>
      </c>
      <c r="C30" s="10" t="s">
        <v>61</v>
      </c>
      <c r="D30" s="10">
        <v>300</v>
      </c>
      <c r="E30" s="24">
        <v>100</v>
      </c>
      <c r="F30" s="10">
        <v>300</v>
      </c>
      <c r="G30" s="10">
        <v>34.999999999999957</v>
      </c>
      <c r="H30" s="10">
        <v>165.00000000000006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5"/>
  <sheetViews>
    <sheetView topLeftCell="C1" workbookViewId="0">
      <selection activeCell="C12" sqref="C12:C13"/>
    </sheetView>
  </sheetViews>
  <sheetFormatPr defaultRowHeight="14.5" x14ac:dyDescent="0.35"/>
  <cols>
    <col min="3" max="3" width="24.90625" customWidth="1"/>
    <col min="4" max="4" width="14.6328125" customWidth="1"/>
    <col min="5" max="5" width="10.08984375" customWidth="1"/>
    <col min="6" max="6" width="10" customWidth="1"/>
    <col min="7" max="7" width="12" customWidth="1"/>
    <col min="8" max="8" width="12.54296875" customWidth="1"/>
    <col min="9" max="9" width="9" customWidth="1"/>
    <col min="10" max="10" width="10" customWidth="1"/>
    <col min="12" max="12" width="10.1796875" customWidth="1"/>
    <col min="14" max="14" width="9.54296875" customWidth="1"/>
    <col min="15" max="15" width="8.453125" customWidth="1"/>
    <col min="17" max="17" width="10.54296875" customWidth="1"/>
    <col min="19" max="19" width="14.1796875" customWidth="1"/>
  </cols>
  <sheetData>
    <row r="1" spans="3:19" x14ac:dyDescent="0.35">
      <c r="G1" t="s">
        <v>51</v>
      </c>
    </row>
    <row r="2" spans="3:19" x14ac:dyDescent="0.35">
      <c r="C2" s="1" t="s">
        <v>0</v>
      </c>
      <c r="D2" s="1" t="s">
        <v>43</v>
      </c>
    </row>
    <row r="3" spans="3:19" x14ac:dyDescent="0.35">
      <c r="C3" s="2">
        <v>300</v>
      </c>
      <c r="D3" s="12">
        <f>'#10 Sensitivity Report'!E30</f>
        <v>100</v>
      </c>
    </row>
    <row r="5" spans="3:19"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row>
    <row r="6" spans="3:19" x14ac:dyDescent="0.35">
      <c r="C6" s="1" t="s">
        <v>3</v>
      </c>
      <c r="D6" s="2">
        <v>170</v>
      </c>
      <c r="E6" s="2">
        <v>0</v>
      </c>
      <c r="F6" s="2">
        <v>0</v>
      </c>
      <c r="G6" s="2">
        <v>1</v>
      </c>
      <c r="H6" s="2">
        <v>0</v>
      </c>
      <c r="I6" s="7">
        <f>G6*E6</f>
        <v>0</v>
      </c>
      <c r="J6" s="7">
        <f>G6*D6</f>
        <v>170</v>
      </c>
      <c r="K6" s="13">
        <v>139.99999999999994</v>
      </c>
      <c r="L6" s="5">
        <f>K6</f>
        <v>139.99999999999994</v>
      </c>
      <c r="M6" s="5">
        <f>F6*K6+G6*H6</f>
        <v>0</v>
      </c>
      <c r="N6" s="5">
        <f>K6*$D$3</f>
        <v>13999.999999999995</v>
      </c>
      <c r="O6" s="2">
        <f>0</f>
        <v>0</v>
      </c>
      <c r="P6" s="5">
        <f>N6+O6</f>
        <v>13999.999999999995</v>
      </c>
      <c r="Q6" s="5">
        <f>K6*F6+G6*H6</f>
        <v>0</v>
      </c>
      <c r="R6" s="7"/>
      <c r="S6" s="18"/>
    </row>
    <row r="7" spans="3:19" x14ac:dyDescent="0.35">
      <c r="C7" s="1" t="s">
        <v>1</v>
      </c>
      <c r="D7" s="2">
        <v>200</v>
      </c>
      <c r="E7" s="2">
        <v>0</v>
      </c>
      <c r="F7" s="2">
        <v>100</v>
      </c>
      <c r="G7" s="28">
        <v>1</v>
      </c>
      <c r="H7" s="2">
        <v>80</v>
      </c>
      <c r="I7" s="7">
        <f t="shared" ref="I7:I9" si="0">G7*E7</f>
        <v>0</v>
      </c>
      <c r="J7" s="7">
        <f t="shared" ref="J7:J9" si="1">G7*D7</f>
        <v>200</v>
      </c>
      <c r="K7" s="13">
        <v>165.00000000000006</v>
      </c>
      <c r="L7" s="5">
        <f t="shared" ref="L7:L8" si="2">K7</f>
        <v>165.00000000000006</v>
      </c>
      <c r="M7" s="5">
        <f>F7*K7+G7*H7</f>
        <v>16580.000000000007</v>
      </c>
      <c r="N7" s="5">
        <f t="shared" ref="N7:N8" si="3">K7*$D$3</f>
        <v>16500.000000000007</v>
      </c>
      <c r="O7" s="7">
        <f>G7*$H$13</f>
        <v>1999.9999999999998</v>
      </c>
      <c r="P7" s="5">
        <f>N7+O7</f>
        <v>18500.000000000007</v>
      </c>
      <c r="Q7" s="5">
        <f t="shared" ref="Q7:Q8" si="4">K7*F7+G7*H7</f>
        <v>16580.000000000007</v>
      </c>
      <c r="R7" s="5">
        <f>P7-Q7</f>
        <v>1920</v>
      </c>
      <c r="S7" s="43">
        <f>-'#10 Sensitivity Report'!E9</f>
        <v>1919.999999999998</v>
      </c>
    </row>
    <row r="8" spans="3:19" x14ac:dyDescent="0.35">
      <c r="C8" s="1" t="s">
        <v>62</v>
      </c>
      <c r="D8" s="2">
        <v>100</v>
      </c>
      <c r="E8" s="2">
        <v>10</v>
      </c>
      <c r="F8" s="2">
        <v>150</v>
      </c>
      <c r="G8" s="28">
        <v>0</v>
      </c>
      <c r="H8" s="2">
        <v>1499</v>
      </c>
      <c r="I8" s="7">
        <f t="shared" si="0"/>
        <v>0</v>
      </c>
      <c r="J8" s="7">
        <f t="shared" si="1"/>
        <v>0</v>
      </c>
      <c r="K8" s="13">
        <v>0</v>
      </c>
      <c r="L8" s="5">
        <f t="shared" si="2"/>
        <v>0</v>
      </c>
      <c r="M8" s="5">
        <f>F8*K8+G8*H8</f>
        <v>0</v>
      </c>
      <c r="N8" s="5">
        <f t="shared" si="3"/>
        <v>0</v>
      </c>
      <c r="O8" s="7">
        <f>G8*$H$13</f>
        <v>0</v>
      </c>
      <c r="P8" s="5">
        <f>N8+O8</f>
        <v>0</v>
      </c>
      <c r="Q8" s="5">
        <f t="shared" si="4"/>
        <v>0</v>
      </c>
      <c r="R8" s="5">
        <f>P8-Q8</f>
        <v>0</v>
      </c>
      <c r="S8" s="43">
        <f>-'#10 Sensitivity Report'!E10</f>
        <v>0</v>
      </c>
    </row>
    <row r="9" spans="3:19" x14ac:dyDescent="0.35">
      <c r="C9" s="1" t="s">
        <v>63</v>
      </c>
      <c r="D9" s="2">
        <v>5</v>
      </c>
      <c r="E9" s="2">
        <v>5</v>
      </c>
      <c r="F9" s="2">
        <v>-20</v>
      </c>
      <c r="G9" s="28">
        <v>1</v>
      </c>
      <c r="H9" s="2">
        <v>1399</v>
      </c>
      <c r="I9" s="7">
        <f t="shared" si="0"/>
        <v>5</v>
      </c>
      <c r="J9" s="7">
        <f t="shared" si="1"/>
        <v>5</v>
      </c>
      <c r="K9" s="13">
        <v>5</v>
      </c>
      <c r="L9" s="5">
        <f>-K9</f>
        <v>-5</v>
      </c>
      <c r="M9" s="5">
        <f>-F9*K9+G9*H9</f>
        <v>1499</v>
      </c>
      <c r="N9" s="5">
        <f>-K9*$D$3</f>
        <v>-500</v>
      </c>
      <c r="O9" s="7">
        <f>G9*$H$13</f>
        <v>1999.9999999999998</v>
      </c>
      <c r="P9" s="5">
        <f>N9+O9</f>
        <v>1499.9999999999998</v>
      </c>
      <c r="Q9" s="5">
        <f>-K9*F9+G9*H9</f>
        <v>1499</v>
      </c>
      <c r="R9" s="5">
        <f>P9-Q9</f>
        <v>0.99999999999977263</v>
      </c>
      <c r="S9" s="43">
        <f>-'#10 Sensitivity Report'!E11</f>
        <v>0</v>
      </c>
    </row>
    <row r="10" spans="3:19" x14ac:dyDescent="0.35">
      <c r="C10" s="1"/>
      <c r="D10" s="1"/>
      <c r="E10" s="1"/>
      <c r="F10" s="1" t="s">
        <v>44</v>
      </c>
      <c r="G10" s="1">
        <f>SUM(G7:G9)</f>
        <v>2</v>
      </c>
      <c r="H10" s="1"/>
      <c r="I10" s="1"/>
      <c r="J10" s="1" t="s">
        <v>11</v>
      </c>
      <c r="K10" s="1"/>
      <c r="L10" s="14">
        <f>SUM(L6:L9)</f>
        <v>300</v>
      </c>
      <c r="M10" s="6">
        <f>SUM(M6:M9)</f>
        <v>18079.000000000007</v>
      </c>
    </row>
    <row r="12" spans="3:19" ht="43.5" x14ac:dyDescent="0.35">
      <c r="C12" s="16" t="s">
        <v>124</v>
      </c>
      <c r="D12" s="16" t="s">
        <v>70</v>
      </c>
      <c r="E12" s="16" t="s">
        <v>71</v>
      </c>
      <c r="F12" s="16" t="s">
        <v>19</v>
      </c>
      <c r="G12" s="16" t="s">
        <v>5</v>
      </c>
      <c r="H12" s="16" t="s">
        <v>73</v>
      </c>
    </row>
    <row r="13" spans="3:19" x14ac:dyDescent="0.35">
      <c r="C13" s="5">
        <f>K6</f>
        <v>139.99999999999994</v>
      </c>
      <c r="D13" s="2">
        <v>100</v>
      </c>
      <c r="E13" s="2">
        <v>20</v>
      </c>
      <c r="F13" s="7">
        <f>D13+G10*E13</f>
        <v>140</v>
      </c>
      <c r="G13" s="12">
        <f>'#10 Sensitivity Report'!E20</f>
        <v>-99.999999999999986</v>
      </c>
      <c r="H13" s="7">
        <f>-E13*G13</f>
        <v>1999.9999999999998</v>
      </c>
    </row>
    <row r="15" spans="3:19" x14ac:dyDescent="0.35">
      <c r="C15" s="1" t="s">
        <v>64</v>
      </c>
      <c r="D15" s="7">
        <f>G8+G9</f>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8" workbookViewId="0">
      <selection activeCell="M18" sqref="M18"/>
    </sheetView>
  </sheetViews>
  <sheetFormatPr defaultRowHeight="14.5" x14ac:dyDescent="0.35"/>
  <cols>
    <col min="1" max="1" width="2.36328125" customWidth="1"/>
    <col min="2" max="2" width="6.1796875" bestFit="1" customWidth="1"/>
    <col min="3" max="3" width="34.54296875" bestFit="1" customWidth="1"/>
    <col min="4" max="4" width="5.81640625" bestFit="1" customWidth="1"/>
    <col min="5" max="5" width="8.36328125" bestFit="1" customWidth="1"/>
    <col min="6" max="6" width="10.08984375" bestFit="1" customWidth="1"/>
    <col min="7" max="8" width="12" bestFit="1" customWidth="1"/>
  </cols>
  <sheetData>
    <row r="1" spans="1:8" x14ac:dyDescent="0.35">
      <c r="A1" s="8" t="s">
        <v>14</v>
      </c>
    </row>
    <row r="2" spans="1:8" x14ac:dyDescent="0.35">
      <c r="A2" s="8" t="s">
        <v>143</v>
      </c>
    </row>
    <row r="3" spans="1:8" x14ac:dyDescent="0.35">
      <c r="A3" s="8" t="s">
        <v>144</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-16219.999999999998</v>
      </c>
      <c r="F9" s="9">
        <v>80</v>
      </c>
      <c r="G9" s="9">
        <v>16219.999999999998</v>
      </c>
      <c r="H9" s="9">
        <v>1E+30</v>
      </c>
    </row>
    <row r="10" spans="1:8" x14ac:dyDescent="0.35">
      <c r="B10" s="9" t="s">
        <v>22</v>
      </c>
      <c r="C10" s="9" t="s">
        <v>65</v>
      </c>
      <c r="D10" s="9">
        <v>1</v>
      </c>
      <c r="E10" s="20">
        <v>0</v>
      </c>
      <c r="F10" s="9">
        <v>1499</v>
      </c>
      <c r="G10" s="9">
        <v>750.00000000000034</v>
      </c>
      <c r="H10" s="9">
        <v>99.99999999999973</v>
      </c>
    </row>
    <row r="11" spans="1:8" x14ac:dyDescent="0.35">
      <c r="B11" s="9" t="s">
        <v>55</v>
      </c>
      <c r="C11" s="9" t="s">
        <v>66</v>
      </c>
      <c r="D11" s="9">
        <v>0</v>
      </c>
      <c r="E11" s="20">
        <v>0</v>
      </c>
      <c r="F11" s="9">
        <v>1399</v>
      </c>
      <c r="G11" s="9">
        <v>99.99999999999973</v>
      </c>
      <c r="H11" s="9">
        <v>750.00000000000034</v>
      </c>
    </row>
    <row r="12" spans="1:8" x14ac:dyDescent="0.35">
      <c r="B12" s="9" t="s">
        <v>37</v>
      </c>
      <c r="C12" s="9" t="s">
        <v>24</v>
      </c>
      <c r="D12" s="9">
        <v>159.99999999999997</v>
      </c>
      <c r="E12" s="9">
        <v>0</v>
      </c>
      <c r="F12" s="9">
        <v>-60</v>
      </c>
      <c r="G12" s="9">
        <v>160.03333333333336</v>
      </c>
      <c r="H12" s="9">
        <v>1E+30</v>
      </c>
    </row>
    <row r="13" spans="1:8" x14ac:dyDescent="0.35">
      <c r="B13" s="9" t="s">
        <v>38</v>
      </c>
      <c r="C13" s="9" t="s">
        <v>25</v>
      </c>
      <c r="D13" s="9">
        <v>200</v>
      </c>
      <c r="E13" s="9">
        <v>0</v>
      </c>
      <c r="F13" s="9">
        <v>100</v>
      </c>
      <c r="G13" s="9">
        <v>50</v>
      </c>
      <c r="H13" s="9">
        <v>1E+30</v>
      </c>
    </row>
    <row r="14" spans="1:8" x14ac:dyDescent="0.35">
      <c r="B14" s="9" t="s">
        <v>39</v>
      </c>
      <c r="C14" s="9" t="s">
        <v>67</v>
      </c>
      <c r="D14" s="9">
        <v>40.000000000000007</v>
      </c>
      <c r="E14" s="9">
        <v>0</v>
      </c>
      <c r="F14" s="9">
        <v>150</v>
      </c>
      <c r="G14" s="9">
        <v>1.8014398509481932E+16</v>
      </c>
      <c r="H14" s="9">
        <v>50</v>
      </c>
    </row>
    <row r="15" spans="1:8" ht="15" thickBot="1" x14ac:dyDescent="0.4">
      <c r="B15" s="10" t="s">
        <v>27</v>
      </c>
      <c r="C15" s="10" t="s">
        <v>68</v>
      </c>
      <c r="D15" s="10">
        <v>0</v>
      </c>
      <c r="E15" s="10">
        <v>150.00000000000006</v>
      </c>
      <c r="F15" s="10">
        <v>20</v>
      </c>
      <c r="G15" s="10">
        <v>1E+30</v>
      </c>
      <c r="H15" s="10">
        <v>150.00000000000006</v>
      </c>
    </row>
    <row r="17" spans="1:8" ht="15" thickBot="1" x14ac:dyDescent="0.4">
      <c r="A17" t="s">
        <v>21</v>
      </c>
    </row>
    <row r="18" spans="1:8" x14ac:dyDescent="0.35">
      <c r="B18" s="41"/>
      <c r="C18" s="41"/>
      <c r="D18" s="41" t="s">
        <v>18</v>
      </c>
      <c r="E18" s="41" t="s">
        <v>34</v>
      </c>
      <c r="F18" s="41" t="s">
        <v>35</v>
      </c>
      <c r="G18" s="41" t="s">
        <v>31</v>
      </c>
      <c r="H18" s="41" t="s">
        <v>31</v>
      </c>
    </row>
    <row r="19" spans="1:8" ht="15" thickBot="1" x14ac:dyDescent="0.4">
      <c r="B19" s="42" t="s">
        <v>16</v>
      </c>
      <c r="C19" s="42" t="s">
        <v>17</v>
      </c>
      <c r="D19" s="42" t="s">
        <v>19</v>
      </c>
      <c r="E19" s="42" t="s">
        <v>5</v>
      </c>
      <c r="F19" s="42" t="s">
        <v>36</v>
      </c>
      <c r="G19" s="42" t="s">
        <v>32</v>
      </c>
      <c r="H19" s="42" t="s">
        <v>33</v>
      </c>
    </row>
    <row r="20" spans="1:8" x14ac:dyDescent="0.35">
      <c r="B20" s="9" t="s">
        <v>92</v>
      </c>
      <c r="C20" s="9" t="s">
        <v>124</v>
      </c>
      <c r="D20" s="9">
        <v>159.99999999999997</v>
      </c>
      <c r="E20" s="20">
        <v>-210</v>
      </c>
      <c r="F20" s="9">
        <v>0</v>
      </c>
      <c r="G20" s="9">
        <v>10.00000000000002</v>
      </c>
      <c r="H20" s="9">
        <v>59.999999999999986</v>
      </c>
    </row>
    <row r="21" spans="1:8" x14ac:dyDescent="0.35">
      <c r="B21" s="9" t="s">
        <v>60</v>
      </c>
      <c r="C21" s="9" t="s">
        <v>61</v>
      </c>
      <c r="D21" s="9">
        <v>400</v>
      </c>
      <c r="E21" s="20">
        <v>150</v>
      </c>
      <c r="F21" s="9">
        <v>400</v>
      </c>
      <c r="G21" s="9">
        <v>59.999999999999986</v>
      </c>
      <c r="H21" s="9">
        <v>30.000000000000011</v>
      </c>
    </row>
    <row r="22" spans="1:8" x14ac:dyDescent="0.35">
      <c r="B22" s="9" t="s">
        <v>69</v>
      </c>
      <c r="C22" s="9" t="s">
        <v>72</v>
      </c>
      <c r="D22" s="9">
        <v>1</v>
      </c>
      <c r="E22" s="23">
        <v>-4800.9999999999982</v>
      </c>
      <c r="F22" s="9">
        <v>1</v>
      </c>
      <c r="G22" s="9">
        <v>0</v>
      </c>
      <c r="H22" s="9">
        <v>0.46153846153846145</v>
      </c>
    </row>
    <row r="23" spans="1:8" x14ac:dyDescent="0.35">
      <c r="B23" s="9" t="s">
        <v>37</v>
      </c>
      <c r="C23" s="9" t="s">
        <v>24</v>
      </c>
      <c r="D23" s="9">
        <v>159.99999999999997</v>
      </c>
      <c r="E23" s="9">
        <v>0</v>
      </c>
      <c r="F23" s="9">
        <v>0</v>
      </c>
      <c r="G23" s="9">
        <v>1E+30</v>
      </c>
      <c r="H23" s="9">
        <v>10.000000000000018</v>
      </c>
    </row>
    <row r="24" spans="1:8" x14ac:dyDescent="0.35">
      <c r="B24" s="9" t="s">
        <v>38</v>
      </c>
      <c r="C24" s="9" t="s">
        <v>25</v>
      </c>
      <c r="D24" s="9">
        <v>200</v>
      </c>
      <c r="E24" s="9">
        <v>-50</v>
      </c>
      <c r="F24" s="9">
        <v>0</v>
      </c>
      <c r="G24" s="9">
        <v>30.000000000000011</v>
      </c>
      <c r="H24" s="9">
        <v>59.999999999999986</v>
      </c>
    </row>
    <row r="25" spans="1:8" x14ac:dyDescent="0.35">
      <c r="B25" s="9" t="s">
        <v>39</v>
      </c>
      <c r="C25" s="9" t="s">
        <v>67</v>
      </c>
      <c r="D25" s="9">
        <v>40.000000000000007</v>
      </c>
      <c r="E25" s="9">
        <v>0</v>
      </c>
      <c r="F25" s="9">
        <v>0</v>
      </c>
      <c r="G25" s="9">
        <v>1E+30</v>
      </c>
      <c r="H25" s="9">
        <v>59.999999999999986</v>
      </c>
    </row>
    <row r="26" spans="1:8" x14ac:dyDescent="0.35">
      <c r="B26" s="9" t="s">
        <v>27</v>
      </c>
      <c r="C26" s="9" t="s">
        <v>68</v>
      </c>
      <c r="D26" s="9">
        <v>0</v>
      </c>
      <c r="E26" s="9">
        <v>0</v>
      </c>
      <c r="F26" s="9">
        <v>0</v>
      </c>
      <c r="G26" s="9">
        <v>1E+30</v>
      </c>
      <c r="H26" s="9">
        <v>0</v>
      </c>
    </row>
    <row r="27" spans="1:8" x14ac:dyDescent="0.35">
      <c r="B27" s="9" t="s">
        <v>37</v>
      </c>
      <c r="C27" s="9" t="s">
        <v>24</v>
      </c>
      <c r="D27" s="9">
        <v>159.99999999999997</v>
      </c>
      <c r="E27" s="9">
        <v>0</v>
      </c>
      <c r="F27" s="9">
        <v>0</v>
      </c>
      <c r="G27" s="9">
        <v>159.99999999999997</v>
      </c>
      <c r="H27" s="9">
        <v>1E+30</v>
      </c>
    </row>
    <row r="28" spans="1:8" x14ac:dyDescent="0.35">
      <c r="B28" s="9" t="s">
        <v>38</v>
      </c>
      <c r="C28" s="9" t="s">
        <v>25</v>
      </c>
      <c r="D28" s="9">
        <v>200</v>
      </c>
      <c r="E28" s="9">
        <v>0</v>
      </c>
      <c r="F28" s="9">
        <v>0</v>
      </c>
      <c r="G28" s="9">
        <v>200</v>
      </c>
      <c r="H28" s="9">
        <v>1E+30</v>
      </c>
    </row>
    <row r="29" spans="1:8" x14ac:dyDescent="0.35">
      <c r="B29" s="9" t="s">
        <v>39</v>
      </c>
      <c r="C29" s="9" t="s">
        <v>67</v>
      </c>
      <c r="D29" s="9">
        <v>40.000000000000007</v>
      </c>
      <c r="E29" s="9">
        <v>0</v>
      </c>
      <c r="F29" s="9">
        <v>0</v>
      </c>
      <c r="G29" s="9">
        <v>30.000000000000011</v>
      </c>
      <c r="H29" s="9">
        <v>1E+30</v>
      </c>
    </row>
    <row r="30" spans="1:8" ht="15" thickBot="1" x14ac:dyDescent="0.4">
      <c r="B30" s="10" t="s">
        <v>27</v>
      </c>
      <c r="C30" s="10" t="s">
        <v>68</v>
      </c>
      <c r="D30" s="10">
        <v>0</v>
      </c>
      <c r="E30" s="10">
        <v>19.999999999999943</v>
      </c>
      <c r="F30" s="10">
        <v>0</v>
      </c>
      <c r="G30" s="10">
        <v>0</v>
      </c>
      <c r="H30" s="10">
        <v>2.9999999999999991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5"/>
  <sheetViews>
    <sheetView workbookViewId="0">
      <selection activeCell="C12" sqref="C12:C13"/>
    </sheetView>
  </sheetViews>
  <sheetFormatPr defaultRowHeight="14.5" x14ac:dyDescent="0.35"/>
  <cols>
    <col min="3" max="3" width="24.90625" customWidth="1"/>
    <col min="4" max="4" width="15" customWidth="1"/>
    <col min="5" max="5" width="10.6328125" customWidth="1"/>
    <col min="6" max="6" width="9.08984375" customWidth="1"/>
    <col min="7" max="7" width="12.453125" customWidth="1"/>
    <col min="8" max="8" width="12.36328125" customWidth="1"/>
    <col min="9" max="9" width="8.81640625" customWidth="1"/>
    <col min="10" max="10" width="8.90625" customWidth="1"/>
    <col min="12" max="12" width="10" customWidth="1"/>
    <col min="14" max="14" width="8.54296875" customWidth="1"/>
    <col min="15" max="15" width="9" customWidth="1"/>
    <col min="17" max="17" width="10.54296875" customWidth="1"/>
    <col min="19" max="19" width="14.54296875" customWidth="1"/>
  </cols>
  <sheetData>
    <row r="1" spans="3:19" x14ac:dyDescent="0.35">
      <c r="G1" t="s">
        <v>51</v>
      </c>
    </row>
    <row r="2" spans="3:19" x14ac:dyDescent="0.35">
      <c r="C2" s="1" t="s">
        <v>0</v>
      </c>
      <c r="D2" s="1" t="s">
        <v>43</v>
      </c>
    </row>
    <row r="3" spans="3:19" x14ac:dyDescent="0.35">
      <c r="C3" s="2">
        <v>400</v>
      </c>
      <c r="D3" s="12">
        <f>'#11 Sensitivity Report'!E21</f>
        <v>150</v>
      </c>
    </row>
    <row r="5" spans="3:19"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row>
    <row r="6" spans="3:19" x14ac:dyDescent="0.35">
      <c r="C6" s="1" t="s">
        <v>3</v>
      </c>
      <c r="D6" s="2">
        <v>170</v>
      </c>
      <c r="E6" s="2">
        <v>0</v>
      </c>
      <c r="F6" s="2">
        <v>-60</v>
      </c>
      <c r="G6" s="2">
        <v>1</v>
      </c>
      <c r="H6" s="2">
        <v>0</v>
      </c>
      <c r="I6" s="7">
        <f>G6*E6</f>
        <v>0</v>
      </c>
      <c r="J6" s="7">
        <f>G6*D6</f>
        <v>170</v>
      </c>
      <c r="K6" s="13">
        <v>159.99999999999997</v>
      </c>
      <c r="L6" s="5">
        <f>K6</f>
        <v>159.99999999999997</v>
      </c>
      <c r="M6" s="5">
        <f>F6*K6+G6*H6</f>
        <v>-9599.9999999999982</v>
      </c>
      <c r="N6" s="5">
        <f>K6*$D$3</f>
        <v>23999.999999999996</v>
      </c>
      <c r="O6" s="2">
        <f>0</f>
        <v>0</v>
      </c>
      <c r="P6" s="5">
        <f>N6+O6</f>
        <v>23999.999999999996</v>
      </c>
      <c r="Q6" s="5">
        <f>K6*F6+G6*H6</f>
        <v>-9599.9999999999982</v>
      </c>
      <c r="R6" s="7"/>
      <c r="S6" s="18"/>
    </row>
    <row r="7" spans="3:19" x14ac:dyDescent="0.35">
      <c r="C7" s="1" t="s">
        <v>1</v>
      </c>
      <c r="D7" s="2">
        <v>200</v>
      </c>
      <c r="E7" s="2">
        <v>0</v>
      </c>
      <c r="F7" s="2">
        <v>100</v>
      </c>
      <c r="G7" s="4">
        <v>1</v>
      </c>
      <c r="H7" s="2">
        <v>80</v>
      </c>
      <c r="I7" s="7">
        <f t="shared" ref="I7:I9" si="0">G7*E7</f>
        <v>0</v>
      </c>
      <c r="J7" s="7">
        <f t="shared" ref="J7:J9" si="1">G7*D7</f>
        <v>200</v>
      </c>
      <c r="K7" s="13">
        <v>200</v>
      </c>
      <c r="L7" s="5">
        <f t="shared" ref="L7:L8" si="2">K7</f>
        <v>200</v>
      </c>
      <c r="M7" s="5">
        <f>F7*K7+G7*H7</f>
        <v>20080</v>
      </c>
      <c r="N7" s="5">
        <f t="shared" ref="N7:N8" si="3">K7*$D$3</f>
        <v>30000</v>
      </c>
      <c r="O7" s="7">
        <f>G7*$H$13</f>
        <v>6300</v>
      </c>
      <c r="P7" s="5">
        <f>N7+O7</f>
        <v>36300</v>
      </c>
      <c r="Q7" s="5">
        <f t="shared" ref="Q7:Q8" si="4">K7*F7+G7*H7</f>
        <v>20080</v>
      </c>
      <c r="R7" s="5">
        <f>P7-Q7</f>
        <v>16220</v>
      </c>
      <c r="S7" s="19">
        <f>-'#11 Sensitivity Report'!E9</f>
        <v>16219.999999999998</v>
      </c>
    </row>
    <row r="8" spans="3:19" x14ac:dyDescent="0.35">
      <c r="C8" s="1" t="s">
        <v>62</v>
      </c>
      <c r="D8" s="2">
        <v>100</v>
      </c>
      <c r="E8" s="2">
        <v>10</v>
      </c>
      <c r="F8" s="2">
        <v>150</v>
      </c>
      <c r="G8" s="4">
        <v>1</v>
      </c>
      <c r="H8" s="2">
        <v>1499</v>
      </c>
      <c r="I8" s="7">
        <f t="shared" si="0"/>
        <v>10</v>
      </c>
      <c r="J8" s="7">
        <f t="shared" si="1"/>
        <v>100</v>
      </c>
      <c r="K8" s="13">
        <v>40.000000000000007</v>
      </c>
      <c r="L8" s="5">
        <f t="shared" si="2"/>
        <v>40.000000000000007</v>
      </c>
      <c r="M8" s="5">
        <f>F8*K8+G8*H8</f>
        <v>7499.0000000000009</v>
      </c>
      <c r="N8" s="5">
        <f t="shared" si="3"/>
        <v>6000.0000000000009</v>
      </c>
      <c r="O8" s="7">
        <f>G8*$H$13</f>
        <v>6300</v>
      </c>
      <c r="P8" s="5">
        <f>N8+O8</f>
        <v>12300</v>
      </c>
      <c r="Q8" s="5">
        <f t="shared" si="4"/>
        <v>7499.0000000000009</v>
      </c>
      <c r="R8" s="5">
        <f>P8-Q8</f>
        <v>4800.9999999999991</v>
      </c>
      <c r="S8" s="21">
        <f>-'#11 Sensitivity Report'!E10-'#11 Sensitivity Report'!E22</f>
        <v>4800.9999999999982</v>
      </c>
    </row>
    <row r="9" spans="3:19" x14ac:dyDescent="0.35">
      <c r="C9" s="1" t="s">
        <v>63</v>
      </c>
      <c r="D9" s="2">
        <v>5</v>
      </c>
      <c r="E9" s="2">
        <v>5</v>
      </c>
      <c r="F9" s="2">
        <v>-20</v>
      </c>
      <c r="G9" s="4">
        <v>0</v>
      </c>
      <c r="H9" s="2">
        <v>1399</v>
      </c>
      <c r="I9" s="7">
        <f t="shared" si="0"/>
        <v>0</v>
      </c>
      <c r="J9" s="7">
        <f t="shared" si="1"/>
        <v>0</v>
      </c>
      <c r="K9" s="13">
        <v>0</v>
      </c>
      <c r="L9" s="5">
        <f>-K9</f>
        <v>0</v>
      </c>
      <c r="M9" s="5">
        <f>-F9*K9+G9*H9</f>
        <v>0</v>
      </c>
      <c r="N9" s="5">
        <f>-K9*$D$3</f>
        <v>0</v>
      </c>
      <c r="O9" s="7">
        <f>G9*$H$13</f>
        <v>0</v>
      </c>
      <c r="P9" s="5">
        <f>N9+O9</f>
        <v>0</v>
      </c>
      <c r="Q9" s="5">
        <f>-K9*F9+G9*H9</f>
        <v>0</v>
      </c>
      <c r="R9" s="5">
        <f>P9-Q9</f>
        <v>0</v>
      </c>
      <c r="S9" s="19">
        <f>-'#11 Sensitivity Report'!E11</f>
        <v>0</v>
      </c>
    </row>
    <row r="10" spans="3:19" x14ac:dyDescent="0.35">
      <c r="C10" s="1"/>
      <c r="D10" s="1"/>
      <c r="E10" s="1"/>
      <c r="F10" s="1" t="s">
        <v>44</v>
      </c>
      <c r="G10" s="1">
        <f>SUM(G7:G9)</f>
        <v>2</v>
      </c>
      <c r="H10" s="1"/>
      <c r="I10" s="1"/>
      <c r="J10" s="1" t="s">
        <v>11</v>
      </c>
      <c r="K10" s="1"/>
      <c r="L10" s="14">
        <f>SUM(L6:L9)</f>
        <v>400</v>
      </c>
      <c r="M10" s="6">
        <f>SUM(M6:M9)</f>
        <v>17979.000000000004</v>
      </c>
    </row>
    <row r="12" spans="3:19" ht="43.5" x14ac:dyDescent="0.35">
      <c r="C12" s="16" t="s">
        <v>124</v>
      </c>
      <c r="D12" s="16" t="s">
        <v>70</v>
      </c>
      <c r="E12" s="16" t="s">
        <v>71</v>
      </c>
      <c r="F12" s="16" t="s">
        <v>19</v>
      </c>
      <c r="G12" s="16" t="s">
        <v>5</v>
      </c>
      <c r="H12" s="16" t="s">
        <v>73</v>
      </c>
    </row>
    <row r="13" spans="3:19" x14ac:dyDescent="0.35">
      <c r="C13" s="5">
        <f>K6</f>
        <v>159.99999999999997</v>
      </c>
      <c r="D13" s="2">
        <v>100</v>
      </c>
      <c r="E13" s="2">
        <v>30</v>
      </c>
      <c r="F13" s="7">
        <f>D13+E13*G10</f>
        <v>160</v>
      </c>
      <c r="G13" s="12">
        <f>'#11 Sensitivity Report'!E20</f>
        <v>-210</v>
      </c>
      <c r="H13" s="7">
        <f>-E13*G13</f>
        <v>6300</v>
      </c>
    </row>
    <row r="15" spans="3:19" x14ac:dyDescent="0.35">
      <c r="C15" s="1" t="s">
        <v>64</v>
      </c>
      <c r="D15" s="7">
        <f>G8+G9</f>
        <v>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12" workbookViewId="0">
      <selection activeCell="I23" sqref="I23"/>
    </sheetView>
  </sheetViews>
  <sheetFormatPr defaultRowHeight="14.5" x14ac:dyDescent="0.35"/>
  <cols>
    <col min="1" max="1" width="2.36328125" customWidth="1"/>
    <col min="2" max="2" width="6.1796875" bestFit="1" customWidth="1"/>
    <col min="3" max="3" width="34.54296875" bestFit="1" customWidth="1"/>
    <col min="4" max="4" width="5.81640625" bestFit="1" customWidth="1"/>
    <col min="5" max="5" width="8.36328125" bestFit="1" customWidth="1"/>
    <col min="6" max="6" width="10.08984375" bestFit="1" customWidth="1"/>
    <col min="7" max="7" width="12" bestFit="1" customWidth="1"/>
    <col min="8" max="8" width="9.1796875" bestFit="1" customWidth="1"/>
  </cols>
  <sheetData>
    <row r="1" spans="1:8" x14ac:dyDescent="0.35">
      <c r="A1" s="8" t="s">
        <v>14</v>
      </c>
    </row>
    <row r="2" spans="1:8" x14ac:dyDescent="0.35">
      <c r="A2" s="8" t="s">
        <v>145</v>
      </c>
    </row>
    <row r="3" spans="1:8" x14ac:dyDescent="0.35">
      <c r="A3" s="8" t="s">
        <v>146</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-4720</v>
      </c>
      <c r="F9" s="9">
        <v>80</v>
      </c>
      <c r="G9" s="9">
        <v>4720</v>
      </c>
      <c r="H9" s="9">
        <v>1E+30</v>
      </c>
    </row>
    <row r="10" spans="1:8" x14ac:dyDescent="0.35">
      <c r="B10" s="9" t="s">
        <v>22</v>
      </c>
      <c r="C10" s="9" t="s">
        <v>65</v>
      </c>
      <c r="D10" s="9">
        <v>1</v>
      </c>
      <c r="E10" s="20">
        <v>0</v>
      </c>
      <c r="F10" s="9">
        <v>1499</v>
      </c>
      <c r="G10" s="9">
        <v>7.3896444519050419E-13</v>
      </c>
      <c r="H10" s="9">
        <v>1E+30</v>
      </c>
    </row>
    <row r="11" spans="1:8" x14ac:dyDescent="0.35">
      <c r="B11" s="9" t="s">
        <v>55</v>
      </c>
      <c r="C11" s="9" t="s">
        <v>66</v>
      </c>
      <c r="D11" s="9">
        <v>0</v>
      </c>
      <c r="E11" s="20">
        <v>7.3896444519050419E-13</v>
      </c>
      <c r="F11" s="9">
        <v>1399</v>
      </c>
      <c r="G11" s="9">
        <v>1E+30</v>
      </c>
      <c r="H11" s="9">
        <v>7.3896444519050419E-13</v>
      </c>
    </row>
    <row r="12" spans="1:8" x14ac:dyDescent="0.35">
      <c r="B12" s="9" t="s">
        <v>37</v>
      </c>
      <c r="C12" s="9" t="s">
        <v>24</v>
      </c>
      <c r="D12" s="9">
        <v>160</v>
      </c>
      <c r="E12" s="9">
        <v>0</v>
      </c>
      <c r="F12" s="9">
        <v>-60</v>
      </c>
      <c r="G12" s="9">
        <v>93.366666666666632</v>
      </c>
      <c r="H12" s="9">
        <v>1E+30</v>
      </c>
    </row>
    <row r="13" spans="1:8" x14ac:dyDescent="0.35">
      <c r="B13" s="9" t="s">
        <v>38</v>
      </c>
      <c r="C13" s="9" t="s">
        <v>25</v>
      </c>
      <c r="D13" s="9">
        <v>49.999999999999993</v>
      </c>
      <c r="E13" s="9">
        <v>0</v>
      </c>
      <c r="F13" s="9">
        <v>100</v>
      </c>
      <c r="G13" s="9">
        <v>50.000000000000007</v>
      </c>
      <c r="H13" s="9">
        <v>4.9264296346033608E-14</v>
      </c>
    </row>
    <row r="14" spans="1:8" x14ac:dyDescent="0.35">
      <c r="B14" s="9" t="s">
        <v>39</v>
      </c>
      <c r="C14" s="9" t="s">
        <v>67</v>
      </c>
      <c r="D14" s="9">
        <v>10</v>
      </c>
      <c r="E14" s="9">
        <v>0</v>
      </c>
      <c r="F14" s="9">
        <v>150</v>
      </c>
      <c r="G14" s="9">
        <v>7.3896444519050422E-14</v>
      </c>
      <c r="H14" s="9">
        <v>50</v>
      </c>
    </row>
    <row r="15" spans="1:8" ht="15" thickBot="1" x14ac:dyDescent="0.4">
      <c r="B15" s="10" t="s">
        <v>27</v>
      </c>
      <c r="C15" s="10" t="s">
        <v>68</v>
      </c>
      <c r="D15" s="10">
        <v>0</v>
      </c>
      <c r="E15" s="10">
        <v>0</v>
      </c>
      <c r="F15" s="10">
        <v>20</v>
      </c>
      <c r="G15" s="10">
        <v>1E+30</v>
      </c>
      <c r="H15" s="10">
        <v>1.4779288903810084E-13</v>
      </c>
    </row>
    <row r="17" spans="1:8" ht="15" thickBot="1" x14ac:dyDescent="0.4">
      <c r="A17" t="s">
        <v>21</v>
      </c>
    </row>
    <row r="18" spans="1:8" x14ac:dyDescent="0.35">
      <c r="B18" s="41"/>
      <c r="C18" s="41"/>
      <c r="D18" s="41" t="s">
        <v>18</v>
      </c>
      <c r="E18" s="41" t="s">
        <v>34</v>
      </c>
      <c r="F18" s="41" t="s">
        <v>35</v>
      </c>
      <c r="G18" s="41" t="s">
        <v>31</v>
      </c>
      <c r="H18" s="41" t="s">
        <v>31</v>
      </c>
    </row>
    <row r="19" spans="1:8" ht="15" thickBot="1" x14ac:dyDescent="0.4">
      <c r="B19" s="42" t="s">
        <v>16</v>
      </c>
      <c r="C19" s="42" t="s">
        <v>17</v>
      </c>
      <c r="D19" s="42" t="s">
        <v>19</v>
      </c>
      <c r="E19" s="42" t="s">
        <v>5</v>
      </c>
      <c r="F19" s="42" t="s">
        <v>36</v>
      </c>
      <c r="G19" s="42" t="s">
        <v>32</v>
      </c>
      <c r="H19" s="42" t="s">
        <v>33</v>
      </c>
    </row>
    <row r="20" spans="1:8" x14ac:dyDescent="0.35">
      <c r="B20" s="9" t="s">
        <v>60</v>
      </c>
      <c r="C20" s="9" t="s">
        <v>61</v>
      </c>
      <c r="D20" s="9">
        <v>220</v>
      </c>
      <c r="E20" s="20">
        <v>100</v>
      </c>
      <c r="F20" s="9">
        <v>220</v>
      </c>
      <c r="G20" s="9">
        <v>150</v>
      </c>
      <c r="H20" s="9">
        <v>49.999999999999993</v>
      </c>
    </row>
    <row r="21" spans="1:8" x14ac:dyDescent="0.35">
      <c r="B21" s="9" t="s">
        <v>92</v>
      </c>
      <c r="C21" s="9" t="s">
        <v>124</v>
      </c>
      <c r="D21" s="9">
        <v>160</v>
      </c>
      <c r="E21" s="20">
        <v>-160</v>
      </c>
      <c r="F21" s="9">
        <v>0</v>
      </c>
      <c r="G21" s="9">
        <v>9.9999999999999929</v>
      </c>
      <c r="H21" s="9">
        <v>150</v>
      </c>
    </row>
    <row r="22" spans="1:8" x14ac:dyDescent="0.35">
      <c r="B22" s="9" t="s">
        <v>37</v>
      </c>
      <c r="C22" s="9" t="s">
        <v>24</v>
      </c>
      <c r="D22" s="9">
        <v>160</v>
      </c>
      <c r="E22" s="9">
        <v>0</v>
      </c>
      <c r="F22" s="9">
        <v>0</v>
      </c>
      <c r="G22" s="9">
        <v>1E+30</v>
      </c>
      <c r="H22" s="9">
        <v>9.9999999999999929</v>
      </c>
    </row>
    <row r="23" spans="1:8" x14ac:dyDescent="0.35">
      <c r="B23" s="9" t="s">
        <v>38</v>
      </c>
      <c r="C23" s="9" t="s">
        <v>25</v>
      </c>
      <c r="D23" s="9">
        <v>49.999999999999993</v>
      </c>
      <c r="E23" s="9">
        <v>0</v>
      </c>
      <c r="F23" s="9">
        <v>0</v>
      </c>
      <c r="G23" s="9">
        <v>1E+30</v>
      </c>
      <c r="H23" s="9">
        <v>150</v>
      </c>
    </row>
    <row r="24" spans="1:8" x14ac:dyDescent="0.35">
      <c r="B24" s="9" t="s">
        <v>39</v>
      </c>
      <c r="C24" s="9" t="s">
        <v>67</v>
      </c>
      <c r="D24" s="9">
        <v>10</v>
      </c>
      <c r="E24" s="9">
        <v>0</v>
      </c>
      <c r="F24" s="9">
        <v>0</v>
      </c>
      <c r="G24" s="9">
        <v>1E+30</v>
      </c>
      <c r="H24" s="9">
        <v>90</v>
      </c>
    </row>
    <row r="25" spans="1:8" x14ac:dyDescent="0.35">
      <c r="B25" s="9" t="s">
        <v>27</v>
      </c>
      <c r="C25" s="9" t="s">
        <v>68</v>
      </c>
      <c r="D25" s="9">
        <v>0</v>
      </c>
      <c r="E25" s="9">
        <v>0</v>
      </c>
      <c r="F25" s="9">
        <v>0</v>
      </c>
      <c r="G25" s="9">
        <v>1E+30</v>
      </c>
      <c r="H25" s="9">
        <v>0</v>
      </c>
    </row>
    <row r="26" spans="1:8" x14ac:dyDescent="0.35">
      <c r="B26" s="9" t="s">
        <v>69</v>
      </c>
      <c r="C26" s="9" t="s">
        <v>72</v>
      </c>
      <c r="D26" s="9">
        <v>1</v>
      </c>
      <c r="E26" s="20">
        <v>-2800.9999999999991</v>
      </c>
      <c r="F26" s="9">
        <v>1</v>
      </c>
      <c r="G26" s="9">
        <v>0</v>
      </c>
      <c r="H26" s="9">
        <v>1</v>
      </c>
    </row>
    <row r="27" spans="1:8" x14ac:dyDescent="0.35">
      <c r="B27" s="9" t="s">
        <v>37</v>
      </c>
      <c r="C27" s="9" t="s">
        <v>24</v>
      </c>
      <c r="D27" s="9">
        <v>160</v>
      </c>
      <c r="E27" s="9">
        <v>0</v>
      </c>
      <c r="F27" s="9">
        <v>0</v>
      </c>
      <c r="G27" s="9">
        <v>160</v>
      </c>
      <c r="H27" s="9">
        <v>1E+30</v>
      </c>
    </row>
    <row r="28" spans="1:8" x14ac:dyDescent="0.35">
      <c r="B28" s="9" t="s">
        <v>38</v>
      </c>
      <c r="C28" s="9" t="s">
        <v>25</v>
      </c>
      <c r="D28" s="9">
        <v>49.999999999999993</v>
      </c>
      <c r="E28" s="9">
        <v>0</v>
      </c>
      <c r="F28" s="9">
        <v>0</v>
      </c>
      <c r="G28" s="9">
        <v>49.999999999999993</v>
      </c>
      <c r="H28" s="9">
        <v>1E+30</v>
      </c>
    </row>
    <row r="29" spans="1:8" x14ac:dyDescent="0.35">
      <c r="B29" s="9" t="s">
        <v>39</v>
      </c>
      <c r="C29" s="9" t="s">
        <v>67</v>
      </c>
      <c r="D29" s="9">
        <v>10</v>
      </c>
      <c r="E29" s="45">
        <v>50</v>
      </c>
      <c r="F29" s="9">
        <v>0</v>
      </c>
      <c r="G29" s="9">
        <v>50</v>
      </c>
      <c r="H29" s="9">
        <v>10</v>
      </c>
    </row>
    <row r="30" spans="1:8" ht="15" thickBot="1" x14ac:dyDescent="0.4">
      <c r="B30" s="10" t="s">
        <v>27</v>
      </c>
      <c r="C30" s="10" t="s">
        <v>68</v>
      </c>
      <c r="D30" s="10">
        <v>0</v>
      </c>
      <c r="E30" s="44">
        <v>120</v>
      </c>
      <c r="F30" s="10">
        <v>0</v>
      </c>
      <c r="G30" s="10">
        <v>0</v>
      </c>
      <c r="H30" s="10">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15"/>
  <sheetViews>
    <sheetView topLeftCell="C1" workbookViewId="0">
      <selection activeCell="C12" sqref="C12:C13"/>
    </sheetView>
  </sheetViews>
  <sheetFormatPr defaultRowHeight="14.5" x14ac:dyDescent="0.35"/>
  <cols>
    <col min="3" max="3" width="24.90625" customWidth="1"/>
    <col min="4" max="4" width="15.6328125" customWidth="1"/>
    <col min="5" max="5" width="10.81640625" customWidth="1"/>
    <col min="6" max="6" width="10.36328125" customWidth="1"/>
    <col min="7" max="7" width="11.1796875" customWidth="1"/>
    <col min="8" max="8" width="12.81640625" customWidth="1"/>
    <col min="9" max="9" width="10.36328125" customWidth="1"/>
    <col min="10" max="10" width="9.54296875" customWidth="1"/>
    <col min="12" max="12" width="10.453125" customWidth="1"/>
    <col min="14" max="14" width="10.08984375" customWidth="1"/>
    <col min="15" max="15" width="8.90625" customWidth="1"/>
    <col min="17" max="17" width="10.54296875" customWidth="1"/>
    <col min="19" max="19" width="14.90625" customWidth="1"/>
  </cols>
  <sheetData>
    <row r="1" spans="3:19" x14ac:dyDescent="0.35">
      <c r="G1" t="s">
        <v>51</v>
      </c>
    </row>
    <row r="2" spans="3:19" x14ac:dyDescent="0.35">
      <c r="C2" s="1" t="s">
        <v>0</v>
      </c>
      <c r="D2" s="1" t="s">
        <v>43</v>
      </c>
    </row>
    <row r="3" spans="3:19" x14ac:dyDescent="0.35">
      <c r="C3" s="2">
        <v>220</v>
      </c>
      <c r="D3" s="12">
        <f>'#12 Sensitivity Report'!E20</f>
        <v>100</v>
      </c>
    </row>
    <row r="5" spans="3:19"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row>
    <row r="6" spans="3:19" x14ac:dyDescent="0.35">
      <c r="C6" s="1" t="s">
        <v>3</v>
      </c>
      <c r="D6" s="2">
        <v>170</v>
      </c>
      <c r="E6" s="2">
        <v>0</v>
      </c>
      <c r="F6" s="2">
        <v>-60</v>
      </c>
      <c r="G6" s="2">
        <v>1</v>
      </c>
      <c r="H6" s="2">
        <v>0</v>
      </c>
      <c r="I6" s="7">
        <f>G6*E6</f>
        <v>0</v>
      </c>
      <c r="J6" s="7">
        <f>G6*D6</f>
        <v>170</v>
      </c>
      <c r="K6" s="13">
        <v>160</v>
      </c>
      <c r="L6" s="5">
        <f>K6</f>
        <v>160</v>
      </c>
      <c r="M6" s="5">
        <f>F6*K6+G6*H6</f>
        <v>-9600</v>
      </c>
      <c r="N6" s="5">
        <f>K6*$D$3</f>
        <v>16000</v>
      </c>
      <c r="O6" s="2">
        <f>0</f>
        <v>0</v>
      </c>
      <c r="P6" s="5">
        <f>N6+O6</f>
        <v>16000</v>
      </c>
      <c r="Q6" s="5">
        <f>K6*F6+G6*H6</f>
        <v>-9600</v>
      </c>
      <c r="R6" s="7"/>
      <c r="S6" s="18"/>
    </row>
    <row r="7" spans="3:19" x14ac:dyDescent="0.35">
      <c r="C7" s="1" t="s">
        <v>1</v>
      </c>
      <c r="D7" s="2">
        <v>200</v>
      </c>
      <c r="E7" s="2">
        <v>0</v>
      </c>
      <c r="F7" s="2">
        <v>100</v>
      </c>
      <c r="G7" s="4">
        <v>1</v>
      </c>
      <c r="H7" s="2">
        <v>80</v>
      </c>
      <c r="I7" s="7">
        <f t="shared" ref="I7:I9" si="0">G7*E7</f>
        <v>0</v>
      </c>
      <c r="J7" s="7">
        <f t="shared" ref="J7:J9" si="1">G7*D7</f>
        <v>200</v>
      </c>
      <c r="K7" s="13">
        <v>49.999999999999993</v>
      </c>
      <c r="L7" s="5">
        <f t="shared" ref="L7:L8" si="2">K7</f>
        <v>49.999999999999993</v>
      </c>
      <c r="M7" s="5">
        <f>F7*K7+G7*H7</f>
        <v>5079.9999999999991</v>
      </c>
      <c r="N7" s="5">
        <f t="shared" ref="N7:N8" si="3">K7*$D$3</f>
        <v>4999.9999999999991</v>
      </c>
      <c r="O7" s="7">
        <f>G7*$H$13</f>
        <v>4800</v>
      </c>
      <c r="P7" s="5">
        <f>N7+O7</f>
        <v>9800</v>
      </c>
      <c r="Q7" s="5">
        <f t="shared" ref="Q7:Q8" si="4">K7*F7+G7*H7</f>
        <v>5079.9999999999991</v>
      </c>
      <c r="R7" s="5">
        <f>P7-Q7</f>
        <v>4720.0000000000009</v>
      </c>
      <c r="S7" s="19">
        <f>'#12 Sensitivity Report'!E9</f>
        <v>-4720</v>
      </c>
    </row>
    <row r="8" spans="3:19" x14ac:dyDescent="0.35">
      <c r="C8" s="1" t="s">
        <v>62</v>
      </c>
      <c r="D8" s="2">
        <v>100</v>
      </c>
      <c r="E8" s="2">
        <v>10</v>
      </c>
      <c r="F8" s="2">
        <v>150</v>
      </c>
      <c r="G8" s="4">
        <v>1</v>
      </c>
      <c r="H8" s="2">
        <v>1499</v>
      </c>
      <c r="I8" s="7">
        <f t="shared" si="0"/>
        <v>10</v>
      </c>
      <c r="J8" s="7">
        <f t="shared" si="1"/>
        <v>100</v>
      </c>
      <c r="K8" s="13">
        <v>10</v>
      </c>
      <c r="L8" s="5">
        <f t="shared" si="2"/>
        <v>10</v>
      </c>
      <c r="M8" s="5">
        <f>F8*K8+G8*H8</f>
        <v>2999</v>
      </c>
      <c r="N8" s="5">
        <f t="shared" si="3"/>
        <v>1000</v>
      </c>
      <c r="O8" s="7">
        <f>G8*$H$13</f>
        <v>4800</v>
      </c>
      <c r="P8" s="5">
        <f>N8+O8</f>
        <v>5800</v>
      </c>
      <c r="Q8" s="5">
        <f t="shared" si="4"/>
        <v>2999</v>
      </c>
      <c r="R8" s="5">
        <f>P8-Q8</f>
        <v>2801</v>
      </c>
      <c r="S8" s="21">
        <f>'#12 Sensitivity Report'!E10-'#12 Sensitivity Report'!E26</f>
        <v>2800.9999999999991</v>
      </c>
    </row>
    <row r="9" spans="3:19" x14ac:dyDescent="0.35">
      <c r="C9" s="1" t="s">
        <v>63</v>
      </c>
      <c r="D9" s="2">
        <v>5</v>
      </c>
      <c r="E9" s="2">
        <v>5</v>
      </c>
      <c r="F9" s="2">
        <v>-20</v>
      </c>
      <c r="G9" s="4">
        <v>0</v>
      </c>
      <c r="H9" s="2">
        <v>1399</v>
      </c>
      <c r="I9" s="7">
        <f t="shared" si="0"/>
        <v>0</v>
      </c>
      <c r="J9" s="7">
        <f t="shared" si="1"/>
        <v>0</v>
      </c>
      <c r="K9" s="13">
        <v>0</v>
      </c>
      <c r="L9" s="5">
        <f>-K9</f>
        <v>0</v>
      </c>
      <c r="M9" s="5">
        <f>-F9*K9+G9*H9</f>
        <v>0</v>
      </c>
      <c r="N9" s="5">
        <f>-K9*$D$3</f>
        <v>0</v>
      </c>
      <c r="O9" s="7">
        <f>G9*$H$13</f>
        <v>0</v>
      </c>
      <c r="P9" s="5">
        <f>N9+O9</f>
        <v>0</v>
      </c>
      <c r="Q9" s="5">
        <f>-K9*F9+G9*H9</f>
        <v>0</v>
      </c>
      <c r="R9" s="5">
        <f>P9-Q9</f>
        <v>0</v>
      </c>
      <c r="S9" s="19">
        <f>'#12 Sensitivity Report'!E11</f>
        <v>7.3896444519050419E-13</v>
      </c>
    </row>
    <row r="10" spans="3:19" x14ac:dyDescent="0.35">
      <c r="C10" s="1"/>
      <c r="D10" s="1"/>
      <c r="E10" s="1"/>
      <c r="F10" s="1" t="s">
        <v>44</v>
      </c>
      <c r="G10" s="1">
        <f>SUM(G7:G9)</f>
        <v>2</v>
      </c>
      <c r="H10" s="1"/>
      <c r="I10" s="1"/>
      <c r="J10" s="1" t="s">
        <v>11</v>
      </c>
      <c r="K10" s="1"/>
      <c r="L10" s="14">
        <f>SUM(L6:L9)</f>
        <v>220</v>
      </c>
      <c r="M10" s="6">
        <f>SUM(M6:M9)</f>
        <v>-1521.0000000000009</v>
      </c>
    </row>
    <row r="12" spans="3:19" ht="43.5" x14ac:dyDescent="0.35">
      <c r="C12" s="16" t="s">
        <v>124</v>
      </c>
      <c r="D12" s="16" t="s">
        <v>70</v>
      </c>
      <c r="E12" s="16" t="s">
        <v>71</v>
      </c>
      <c r="F12" s="16" t="s">
        <v>19</v>
      </c>
      <c r="G12" s="16" t="s">
        <v>5</v>
      </c>
      <c r="H12" s="16" t="s">
        <v>73</v>
      </c>
    </row>
    <row r="13" spans="3:19" x14ac:dyDescent="0.35">
      <c r="C13" s="5">
        <f>K6</f>
        <v>160</v>
      </c>
      <c r="D13" s="2">
        <v>100</v>
      </c>
      <c r="E13" s="2">
        <v>30</v>
      </c>
      <c r="F13" s="7">
        <f>D13+E13*G10</f>
        <v>160</v>
      </c>
      <c r="G13" s="12">
        <f>'#12 Sensitivity Report'!E21</f>
        <v>-160</v>
      </c>
      <c r="H13" s="7">
        <f>-E13*G13</f>
        <v>4800</v>
      </c>
    </row>
    <row r="15" spans="3:19" x14ac:dyDescent="0.35">
      <c r="C15" s="1" t="s">
        <v>64</v>
      </c>
      <c r="D15" s="7">
        <f>G8+G9</f>
        <v>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topLeftCell="A8" workbookViewId="0">
      <selection activeCell="J20" sqref="J20"/>
    </sheetView>
  </sheetViews>
  <sheetFormatPr defaultRowHeight="14.5" x14ac:dyDescent="0.35"/>
  <cols>
    <col min="1" max="1" width="2.36328125" customWidth="1"/>
    <col min="2" max="2" width="6.1796875" bestFit="1" customWidth="1"/>
    <col min="3" max="3" width="34.54296875" bestFit="1" customWidth="1"/>
    <col min="4" max="4" width="12" bestFit="1" customWidth="1"/>
    <col min="5" max="5" width="12.6328125" bestFit="1" customWidth="1"/>
    <col min="6" max="6" width="10.08984375" bestFit="1" customWidth="1"/>
    <col min="7" max="8" width="12" bestFit="1" customWidth="1"/>
  </cols>
  <sheetData>
    <row r="1" spans="1:8" x14ac:dyDescent="0.35">
      <c r="A1" s="8" t="s">
        <v>14</v>
      </c>
    </row>
    <row r="2" spans="1:8" x14ac:dyDescent="0.35">
      <c r="A2" s="8" t="s">
        <v>147</v>
      </c>
    </row>
    <row r="3" spans="1:8" x14ac:dyDescent="0.35">
      <c r="A3" s="8" t="s">
        <v>148</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0</v>
      </c>
      <c r="E9" s="20">
        <v>0</v>
      </c>
      <c r="F9" s="9">
        <v>80</v>
      </c>
      <c r="G9" s="9">
        <v>1E+30</v>
      </c>
      <c r="H9" s="9">
        <v>80.000000000001506</v>
      </c>
    </row>
    <row r="10" spans="1:8" x14ac:dyDescent="0.35">
      <c r="B10" s="9" t="s">
        <v>22</v>
      </c>
      <c r="C10" s="9" t="s">
        <v>65</v>
      </c>
      <c r="D10" s="9">
        <v>1.1102230246251565E-16</v>
      </c>
      <c r="E10" s="20">
        <v>0</v>
      </c>
      <c r="F10" s="9">
        <v>100</v>
      </c>
      <c r="G10" s="9">
        <v>1E+30</v>
      </c>
      <c r="H10" s="9">
        <v>2299.9999999999995</v>
      </c>
    </row>
    <row r="11" spans="1:8" x14ac:dyDescent="0.35">
      <c r="B11" s="9" t="s">
        <v>55</v>
      </c>
      <c r="C11" s="9" t="s">
        <v>66</v>
      </c>
      <c r="D11" s="9">
        <v>0.99999999999999989</v>
      </c>
      <c r="E11" s="20">
        <v>0</v>
      </c>
      <c r="F11" s="9">
        <v>100</v>
      </c>
      <c r="G11" s="9">
        <v>99.999999999999304</v>
      </c>
      <c r="H11" s="9">
        <v>1E+30</v>
      </c>
    </row>
    <row r="12" spans="1:8" x14ac:dyDescent="0.35">
      <c r="B12" s="9" t="s">
        <v>37</v>
      </c>
      <c r="C12" s="9" t="s">
        <v>24</v>
      </c>
      <c r="D12" s="9">
        <v>225</v>
      </c>
      <c r="E12" s="9">
        <v>0</v>
      </c>
      <c r="F12" s="9">
        <v>-60</v>
      </c>
      <c r="G12" s="9">
        <v>19.999999999999872</v>
      </c>
      <c r="H12" s="9">
        <v>1E+30</v>
      </c>
    </row>
    <row r="13" spans="1:8" x14ac:dyDescent="0.35">
      <c r="B13" s="9" t="s">
        <v>38</v>
      </c>
      <c r="C13" s="9" t="s">
        <v>25</v>
      </c>
      <c r="D13" s="9">
        <v>2.8421709430404001E-15</v>
      </c>
      <c r="E13" s="9">
        <v>0</v>
      </c>
      <c r="F13" s="9">
        <v>100</v>
      </c>
      <c r="G13" s="9">
        <v>1E+30</v>
      </c>
      <c r="H13" s="9">
        <v>160.40000000000006</v>
      </c>
    </row>
    <row r="14" spans="1:8" x14ac:dyDescent="0.35">
      <c r="B14" s="9" t="s">
        <v>39</v>
      </c>
      <c r="C14" s="9" t="s">
        <v>67</v>
      </c>
      <c r="D14" s="9">
        <v>8.8817841970012523E-16</v>
      </c>
      <c r="E14" s="9">
        <v>0</v>
      </c>
      <c r="F14" s="9">
        <v>150</v>
      </c>
      <c r="G14" s="9">
        <v>1E+30</v>
      </c>
      <c r="H14" s="9">
        <v>211.99999999999991</v>
      </c>
    </row>
    <row r="15" spans="1:8" ht="15" thickBot="1" x14ac:dyDescent="0.4">
      <c r="B15" s="10" t="s">
        <v>27</v>
      </c>
      <c r="C15" s="10" t="s">
        <v>68</v>
      </c>
      <c r="D15" s="10">
        <v>4.9999999999999991</v>
      </c>
      <c r="E15" s="10">
        <v>0</v>
      </c>
      <c r="F15" s="10">
        <v>20</v>
      </c>
      <c r="G15" s="10">
        <v>19.999999999999861</v>
      </c>
      <c r="H15" s="10">
        <v>1E+30</v>
      </c>
    </row>
    <row r="17" spans="1:8" ht="15" thickBot="1" x14ac:dyDescent="0.4">
      <c r="A17" t="s">
        <v>21</v>
      </c>
    </row>
    <row r="18" spans="1:8" x14ac:dyDescent="0.35">
      <c r="B18" s="41"/>
      <c r="C18" s="41"/>
      <c r="D18" s="41" t="s">
        <v>18</v>
      </c>
      <c r="E18" s="41" t="s">
        <v>34</v>
      </c>
      <c r="F18" s="41" t="s">
        <v>35</v>
      </c>
      <c r="G18" s="41" t="s">
        <v>31</v>
      </c>
      <c r="H18" s="41" t="s">
        <v>31</v>
      </c>
    </row>
    <row r="19" spans="1:8" ht="15" thickBot="1" x14ac:dyDescent="0.4">
      <c r="B19" s="42" t="s">
        <v>16</v>
      </c>
      <c r="C19" s="42" t="s">
        <v>17</v>
      </c>
      <c r="D19" s="42" t="s">
        <v>19</v>
      </c>
      <c r="E19" s="42" t="s">
        <v>5</v>
      </c>
      <c r="F19" s="42" t="s">
        <v>36</v>
      </c>
      <c r="G19" s="42" t="s">
        <v>32</v>
      </c>
      <c r="H19" s="42" t="s">
        <v>33</v>
      </c>
    </row>
    <row r="20" spans="1:8" x14ac:dyDescent="0.35">
      <c r="B20" s="9" t="s">
        <v>37</v>
      </c>
      <c r="C20" s="9" t="s">
        <v>24</v>
      </c>
      <c r="D20" s="9">
        <v>225</v>
      </c>
      <c r="E20" s="9">
        <v>0</v>
      </c>
      <c r="F20" s="9">
        <v>0</v>
      </c>
      <c r="G20" s="9">
        <v>225</v>
      </c>
      <c r="H20" s="9">
        <v>1E+30</v>
      </c>
    </row>
    <row r="21" spans="1:8" x14ac:dyDescent="0.35">
      <c r="B21" s="9" t="s">
        <v>38</v>
      </c>
      <c r="C21" s="9" t="s">
        <v>25</v>
      </c>
      <c r="D21" s="9">
        <v>2.8421709430404001E-15</v>
      </c>
      <c r="E21" s="9">
        <v>160.40000000000003</v>
      </c>
      <c r="F21" s="9">
        <v>0</v>
      </c>
      <c r="G21" s="9">
        <v>199.99999999999997</v>
      </c>
      <c r="H21" s="9">
        <v>0</v>
      </c>
    </row>
    <row r="22" spans="1:8" x14ac:dyDescent="0.35">
      <c r="B22" s="9" t="s">
        <v>39</v>
      </c>
      <c r="C22" s="9" t="s">
        <v>67</v>
      </c>
      <c r="D22" s="9">
        <v>8.8817841970012523E-16</v>
      </c>
      <c r="E22" s="9">
        <v>235.55555555555549</v>
      </c>
      <c r="F22" s="9">
        <v>0</v>
      </c>
      <c r="G22" s="9">
        <v>89.999999999999986</v>
      </c>
      <c r="H22" s="9">
        <v>7.9936057773011263E-16</v>
      </c>
    </row>
    <row r="23" spans="1:8" x14ac:dyDescent="0.35">
      <c r="B23" s="9" t="s">
        <v>27</v>
      </c>
      <c r="C23" s="9" t="s">
        <v>68</v>
      </c>
      <c r="D23" s="9">
        <v>4.9999999999999991</v>
      </c>
      <c r="E23" s="9">
        <v>0</v>
      </c>
      <c r="F23" s="9">
        <v>0</v>
      </c>
      <c r="G23" s="9">
        <v>0</v>
      </c>
      <c r="H23" s="9">
        <v>1E+30</v>
      </c>
    </row>
    <row r="24" spans="1:8" x14ac:dyDescent="0.35">
      <c r="B24" s="9" t="s">
        <v>60</v>
      </c>
      <c r="C24" s="9" t="s">
        <v>61</v>
      </c>
      <c r="D24" s="9">
        <v>220</v>
      </c>
      <c r="E24" s="20">
        <v>-60</v>
      </c>
      <c r="F24" s="9">
        <v>220</v>
      </c>
      <c r="G24" s="9">
        <v>5.0000000000000018</v>
      </c>
      <c r="H24" s="9">
        <v>225.00000000000003</v>
      </c>
    </row>
    <row r="25" spans="1:8" x14ac:dyDescent="0.35">
      <c r="B25" s="9" t="s">
        <v>69</v>
      </c>
      <c r="C25" s="9" t="s">
        <v>72</v>
      </c>
      <c r="D25" s="9">
        <v>1</v>
      </c>
      <c r="E25" s="20">
        <v>-99.999999999999289</v>
      </c>
      <c r="F25" s="9">
        <v>1</v>
      </c>
      <c r="G25" s="9">
        <v>1.1102230246251568E-16</v>
      </c>
      <c r="H25" s="9">
        <v>0.20000000000000007</v>
      </c>
    </row>
    <row r="26" spans="1:8" x14ac:dyDescent="0.35">
      <c r="B26" s="9" t="s">
        <v>92</v>
      </c>
      <c r="C26" s="9" t="s">
        <v>124</v>
      </c>
      <c r="D26" s="9">
        <v>225</v>
      </c>
      <c r="E26" s="20">
        <v>0</v>
      </c>
      <c r="F26" s="9">
        <v>0</v>
      </c>
      <c r="G26" s="9">
        <v>1E+30</v>
      </c>
      <c r="H26" s="9">
        <v>5.0000000000000018</v>
      </c>
    </row>
    <row r="27" spans="1:8" x14ac:dyDescent="0.35">
      <c r="B27" s="9" t="s">
        <v>37</v>
      </c>
      <c r="C27" s="9" t="s">
        <v>24</v>
      </c>
      <c r="D27" s="9">
        <v>225</v>
      </c>
      <c r="E27" s="9">
        <v>0</v>
      </c>
      <c r="F27" s="9">
        <v>0</v>
      </c>
      <c r="G27" s="9">
        <v>1E+30</v>
      </c>
      <c r="H27" s="9">
        <v>75</v>
      </c>
    </row>
    <row r="28" spans="1:8" x14ac:dyDescent="0.35">
      <c r="B28" s="9" t="s">
        <v>38</v>
      </c>
      <c r="C28" s="9" t="s">
        <v>25</v>
      </c>
      <c r="D28" s="9">
        <v>2.8421709430404001E-15</v>
      </c>
      <c r="E28" s="9">
        <v>-0.40000000000000757</v>
      </c>
      <c r="F28" s="9">
        <v>0</v>
      </c>
      <c r="G28" s="9">
        <v>0</v>
      </c>
      <c r="H28" s="9">
        <v>200</v>
      </c>
    </row>
    <row r="29" spans="1:8" x14ac:dyDescent="0.35">
      <c r="B29" s="9" t="s">
        <v>39</v>
      </c>
      <c r="C29" s="9" t="s">
        <v>67</v>
      </c>
      <c r="D29" s="9">
        <v>8.8817841970012523E-16</v>
      </c>
      <c r="E29" s="9">
        <v>-25.555555555555546</v>
      </c>
      <c r="F29" s="9">
        <v>0</v>
      </c>
      <c r="G29" s="9">
        <v>7.9936057773011287E-15</v>
      </c>
      <c r="H29" s="9">
        <v>89.999999999999972</v>
      </c>
    </row>
    <row r="30" spans="1:8" ht="15" thickBot="1" x14ac:dyDescent="0.4">
      <c r="B30" s="10" t="s">
        <v>27</v>
      </c>
      <c r="C30" s="10" t="s">
        <v>68</v>
      </c>
      <c r="D30" s="10">
        <v>4.9999999999999991</v>
      </c>
      <c r="E30" s="10">
        <v>-40</v>
      </c>
      <c r="F30" s="10">
        <v>0</v>
      </c>
      <c r="G30" s="10">
        <v>5.0000000000000018</v>
      </c>
      <c r="H30" s="1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15"/>
  <sheetViews>
    <sheetView topLeftCell="D1" workbookViewId="0">
      <selection activeCell="C2" sqref="C2:S15"/>
    </sheetView>
  </sheetViews>
  <sheetFormatPr defaultRowHeight="14.5" x14ac:dyDescent="0.35"/>
  <cols>
    <col min="3" max="3" width="24.90625" customWidth="1"/>
    <col min="4" max="4" width="15.08984375" customWidth="1"/>
    <col min="5" max="5" width="10" customWidth="1"/>
    <col min="6" max="6" width="8.1796875" customWidth="1"/>
    <col min="7" max="7" width="12.1796875" customWidth="1"/>
    <col min="8" max="8" width="11.81640625" customWidth="1"/>
    <col min="9" max="9" width="10.36328125" customWidth="1"/>
    <col min="10" max="10" width="10.1796875" customWidth="1"/>
    <col min="12" max="12" width="11.1796875" customWidth="1"/>
    <col min="14" max="14" width="10.81640625" customWidth="1"/>
    <col min="15" max="15" width="7.90625" customWidth="1"/>
    <col min="17" max="17" width="8.1796875" customWidth="1"/>
    <col min="19" max="19" width="13.36328125" customWidth="1"/>
  </cols>
  <sheetData>
    <row r="1" spans="3:25" x14ac:dyDescent="0.35">
      <c r="G1" t="s">
        <v>51</v>
      </c>
    </row>
    <row r="2" spans="3:25" x14ac:dyDescent="0.35">
      <c r="C2" s="1" t="s">
        <v>0</v>
      </c>
      <c r="D2" s="1" t="s">
        <v>43</v>
      </c>
    </row>
    <row r="3" spans="3:25" x14ac:dyDescent="0.35">
      <c r="C3" s="2">
        <v>220</v>
      </c>
      <c r="D3" s="12">
        <f>'#13 Sensitivity Report'!E24</f>
        <v>-60</v>
      </c>
      <c r="Y3" s="31" t="s">
        <v>78</v>
      </c>
    </row>
    <row r="4" spans="3:25" x14ac:dyDescent="0.35">
      <c r="Y4" s="30">
        <f>MIN($M$10)</f>
        <v>-13300</v>
      </c>
    </row>
    <row r="5" spans="3:25"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c r="Y5" s="29">
        <f>COUNT($G$7:$G$9,$K$6:$K$9)</f>
        <v>7</v>
      </c>
    </row>
    <row r="6" spans="3:25" x14ac:dyDescent="0.35">
      <c r="C6" s="1" t="s">
        <v>3</v>
      </c>
      <c r="D6" s="2">
        <v>300</v>
      </c>
      <c r="E6" s="2">
        <v>0</v>
      </c>
      <c r="F6" s="2">
        <v>-60</v>
      </c>
      <c r="G6" s="2">
        <v>1</v>
      </c>
      <c r="H6" s="2">
        <v>0</v>
      </c>
      <c r="I6" s="25">
        <f>G6*E6</f>
        <v>0</v>
      </c>
      <c r="J6" s="25">
        <f>G6*D6</f>
        <v>300</v>
      </c>
      <c r="K6" s="13">
        <v>225</v>
      </c>
      <c r="L6" s="5">
        <f>K6</f>
        <v>225</v>
      </c>
      <c r="M6" s="5">
        <f>F6*K6+G6*H6</f>
        <v>-13500</v>
      </c>
      <c r="N6" s="5">
        <f>K6*$D$3</f>
        <v>-13500</v>
      </c>
      <c r="O6" s="2">
        <f>0</f>
        <v>0</v>
      </c>
      <c r="P6" s="5">
        <f>N6+O6</f>
        <v>-13500</v>
      </c>
      <c r="Q6" s="5">
        <f>K6*F6+G6*H6</f>
        <v>-13500</v>
      </c>
      <c r="R6" s="7"/>
      <c r="S6" s="18"/>
      <c r="Y6" s="29" t="b">
        <f>$C$13&lt;=$F$13</f>
        <v>1</v>
      </c>
    </row>
    <row r="7" spans="3:25" x14ac:dyDescent="0.35">
      <c r="C7" s="1" t="s">
        <v>1</v>
      </c>
      <c r="D7" s="2">
        <v>200</v>
      </c>
      <c r="E7" s="2">
        <v>0</v>
      </c>
      <c r="F7" s="2">
        <v>100</v>
      </c>
      <c r="G7" s="28">
        <v>0</v>
      </c>
      <c r="H7" s="2">
        <v>80</v>
      </c>
      <c r="I7" s="25">
        <f t="shared" ref="I7:I9" si="0">G7*E7</f>
        <v>0</v>
      </c>
      <c r="J7" s="25">
        <f t="shared" ref="J7:J9" si="1">G7*D7</f>
        <v>0</v>
      </c>
      <c r="K7" s="13">
        <v>2.8421709430404001E-15</v>
      </c>
      <c r="L7" s="5">
        <f t="shared" ref="L7:L8" si="2">K7</f>
        <v>2.8421709430404001E-15</v>
      </c>
      <c r="M7" s="5">
        <f>F7*K7+G7*H7</f>
        <v>2.8421709430404002E-13</v>
      </c>
      <c r="N7" s="5">
        <f t="shared" ref="N7:N8" si="3">K7*$D$3</f>
        <v>-1.7053025658242399E-13</v>
      </c>
      <c r="O7" s="7">
        <f>G7*$H$13</f>
        <v>0</v>
      </c>
      <c r="P7" s="5">
        <f>N7+O7</f>
        <v>-1.7053025658242399E-13</v>
      </c>
      <c r="Q7" s="5">
        <f t="shared" ref="Q7:Q8" si="4">K7*F7+G7*H7</f>
        <v>2.8421709430404002E-13</v>
      </c>
      <c r="R7" s="5">
        <f>P7-Q7</f>
        <v>-4.5474735088646402E-13</v>
      </c>
      <c r="S7" s="18">
        <f>'#13 Sensitivity Report'!E9</f>
        <v>0</v>
      </c>
      <c r="Y7" s="29" t="b">
        <f t="array" ref="Y7">$G$7:$G$9&lt;=1</f>
        <v>1</v>
      </c>
    </row>
    <row r="8" spans="3:25" x14ac:dyDescent="0.35">
      <c r="C8" s="1" t="s">
        <v>62</v>
      </c>
      <c r="D8" s="2">
        <v>100</v>
      </c>
      <c r="E8" s="2">
        <v>10</v>
      </c>
      <c r="F8" s="2">
        <v>150</v>
      </c>
      <c r="G8" s="28">
        <v>1.1102230246251565E-16</v>
      </c>
      <c r="H8" s="2">
        <v>100</v>
      </c>
      <c r="I8" s="25">
        <f t="shared" si="0"/>
        <v>1.1102230246251565E-15</v>
      </c>
      <c r="J8" s="25">
        <f t="shared" si="1"/>
        <v>1.1102230246251565E-14</v>
      </c>
      <c r="K8" s="13">
        <v>8.8817841970012523E-16</v>
      </c>
      <c r="L8" s="5">
        <f t="shared" si="2"/>
        <v>8.8817841970012523E-16</v>
      </c>
      <c r="M8" s="5">
        <f>F8*K8+G8*H8</f>
        <v>1.4432899320127035E-13</v>
      </c>
      <c r="N8" s="5">
        <f t="shared" si="3"/>
        <v>-5.3290705182007514E-14</v>
      </c>
      <c r="O8" s="7">
        <f>G8*$H$13</f>
        <v>0</v>
      </c>
      <c r="P8" s="5">
        <f>N8+O8</f>
        <v>-5.3290705182007514E-14</v>
      </c>
      <c r="Q8" s="5">
        <f t="shared" si="4"/>
        <v>1.4432899320127035E-13</v>
      </c>
      <c r="R8" s="5">
        <f>P8-Q8</f>
        <v>-1.9761969838327786E-13</v>
      </c>
      <c r="S8" s="18">
        <f>'#13 Sensitivity Report'!E10</f>
        <v>0</v>
      </c>
      <c r="Y8" s="29" t="b">
        <f t="array" ref="Y8">$K$6:$K$9&lt;=$J$6:$J$9</f>
        <v>1</v>
      </c>
    </row>
    <row r="9" spans="3:25" x14ac:dyDescent="0.35">
      <c r="C9" s="1" t="s">
        <v>63</v>
      </c>
      <c r="D9" s="2">
        <v>5</v>
      </c>
      <c r="E9" s="2">
        <v>5</v>
      </c>
      <c r="F9" s="2">
        <v>-20</v>
      </c>
      <c r="G9" s="28">
        <v>0.99999999999999989</v>
      </c>
      <c r="H9" s="2">
        <v>100</v>
      </c>
      <c r="I9" s="25">
        <f t="shared" si="0"/>
        <v>4.9999999999999991</v>
      </c>
      <c r="J9" s="25">
        <f t="shared" si="1"/>
        <v>4.9999999999999991</v>
      </c>
      <c r="K9" s="13">
        <v>4.9999999999999991</v>
      </c>
      <c r="L9" s="5">
        <f>-K9</f>
        <v>-4.9999999999999991</v>
      </c>
      <c r="M9" s="5">
        <f>-F9*K9+G9*H9</f>
        <v>199.99999999999997</v>
      </c>
      <c r="N9" s="5">
        <f>-K9*$D$3</f>
        <v>299.99999999999994</v>
      </c>
      <c r="O9" s="7">
        <f>G9*$H$13</f>
        <v>0</v>
      </c>
      <c r="P9" s="5">
        <f>N9+O9</f>
        <v>299.99999999999994</v>
      </c>
      <c r="Q9" s="5">
        <f>-K9*F9+G9*H9</f>
        <v>199.99999999999997</v>
      </c>
      <c r="R9" s="5">
        <f>P9-Q9</f>
        <v>99.999999999999972</v>
      </c>
      <c r="S9" s="22">
        <f>'#13 Sensitivity Report'!E11-'#13 Sensitivity Report'!E25</f>
        <v>99.999999999999289</v>
      </c>
      <c r="Y9" s="29" t="b">
        <f>$D$15&lt;=1</f>
        <v>1</v>
      </c>
    </row>
    <row r="10" spans="3:25" x14ac:dyDescent="0.35">
      <c r="C10" s="1"/>
      <c r="D10" s="1"/>
      <c r="E10" s="1"/>
      <c r="F10" s="1" t="s">
        <v>44</v>
      </c>
      <c r="G10" s="1">
        <f>SUM(G7:G9)</f>
        <v>1</v>
      </c>
      <c r="H10" s="1"/>
      <c r="I10" s="1"/>
      <c r="J10" s="1" t="s">
        <v>11</v>
      </c>
      <c r="K10" s="1"/>
      <c r="L10" s="14">
        <f>SUM(L6:L9)</f>
        <v>220</v>
      </c>
      <c r="M10" s="6">
        <f>SUM(M6:M9)</f>
        <v>-13300</v>
      </c>
      <c r="Y10" s="29" t="b">
        <f t="array" ref="Y10">$K$6:$K$9&gt;=$I$6:$I$9</f>
        <v>1</v>
      </c>
    </row>
    <row r="11" spans="3:25" x14ac:dyDescent="0.35">
      <c r="Y11" s="29" t="b">
        <f t="array" ref="Y11">$G$7:$G$9&gt;=0</f>
        <v>1</v>
      </c>
    </row>
    <row r="12" spans="3:25" ht="43.5" x14ac:dyDescent="0.35">
      <c r="C12" s="16" t="s">
        <v>124</v>
      </c>
      <c r="D12" s="16" t="s">
        <v>70</v>
      </c>
      <c r="E12" s="16" t="s">
        <v>71</v>
      </c>
      <c r="F12" s="16" t="s">
        <v>19</v>
      </c>
      <c r="G12" s="16" t="s">
        <v>5</v>
      </c>
      <c r="H12" s="16" t="s">
        <v>73</v>
      </c>
      <c r="Y12" s="29" t="b">
        <f>$L$10=$C$3</f>
        <v>1</v>
      </c>
    </row>
    <row r="13" spans="3:25" x14ac:dyDescent="0.35">
      <c r="C13" s="5">
        <f>K6</f>
        <v>225</v>
      </c>
      <c r="D13" s="2">
        <v>200</v>
      </c>
      <c r="E13" s="2">
        <v>30</v>
      </c>
      <c r="F13" s="7">
        <f>D13+E13*G10</f>
        <v>230</v>
      </c>
      <c r="G13" s="12">
        <f>'#13 Sensitivity Report'!E26</f>
        <v>0</v>
      </c>
      <c r="H13" s="7">
        <f>-E13*G13</f>
        <v>0</v>
      </c>
      <c r="Y13" s="29">
        <f>{32767,32767,0.000001,0.01,TRUE,FALSE,FALSE,1,2,1,0.0001,TRUE}</f>
        <v>32767</v>
      </c>
    </row>
    <row r="14" spans="3:25" x14ac:dyDescent="0.35">
      <c r="M14" s="17"/>
      <c r="Y14" s="29">
        <f>{0,0,2,100,0,FALSE,FALSE,0.075,0,0,FALSE,30}</f>
        <v>0</v>
      </c>
    </row>
    <row r="15" spans="3:25" x14ac:dyDescent="0.35">
      <c r="C15" s="1" t="s">
        <v>64</v>
      </c>
      <c r="D15" s="7">
        <f>G8+G9</f>
        <v>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topLeftCell="A5" workbookViewId="0">
      <selection activeCell="E29" sqref="E29"/>
    </sheetView>
  </sheetViews>
  <sheetFormatPr defaultRowHeight="14.5" x14ac:dyDescent="0.35"/>
  <cols>
    <col min="1" max="1" width="2.36328125" customWidth="1"/>
    <col min="2" max="2" width="6.1796875" bestFit="1" customWidth="1"/>
    <col min="3" max="3" width="34.81640625" bestFit="1" customWidth="1"/>
    <col min="4" max="4" width="12" bestFit="1" customWidth="1"/>
    <col min="5" max="5" width="8.36328125" bestFit="1" customWidth="1"/>
    <col min="6" max="6" width="10.08984375" bestFit="1" customWidth="1"/>
    <col min="7" max="7" width="12" bestFit="1" customWidth="1"/>
    <col min="8" max="8" width="12.6328125" bestFit="1" customWidth="1"/>
  </cols>
  <sheetData>
    <row r="1" spans="1:8" x14ac:dyDescent="0.35">
      <c r="A1" s="8" t="s">
        <v>14</v>
      </c>
    </row>
    <row r="2" spans="1:8" x14ac:dyDescent="0.35">
      <c r="A2" s="8" t="s">
        <v>149</v>
      </c>
    </row>
    <row r="3" spans="1:8" x14ac:dyDescent="0.35">
      <c r="A3" s="8" t="s">
        <v>150</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-99.999999999999361</v>
      </c>
      <c r="F9" s="9">
        <v>600</v>
      </c>
      <c r="G9" s="9">
        <v>99.999999999999361</v>
      </c>
      <c r="H9" s="9">
        <v>1E+30</v>
      </c>
    </row>
    <row r="10" spans="1:8" x14ac:dyDescent="0.35">
      <c r="B10" s="9" t="s">
        <v>22</v>
      </c>
      <c r="C10" s="9" t="s">
        <v>82</v>
      </c>
      <c r="D10" s="9">
        <v>0</v>
      </c>
      <c r="E10" s="20">
        <v>0</v>
      </c>
      <c r="F10" s="9">
        <v>600</v>
      </c>
      <c r="G10" s="9">
        <v>1E+30</v>
      </c>
      <c r="H10" s="9">
        <v>99.999999999999076</v>
      </c>
    </row>
    <row r="11" spans="1:8" x14ac:dyDescent="0.35">
      <c r="B11" s="9" t="s">
        <v>55</v>
      </c>
      <c r="C11" s="9" t="s">
        <v>65</v>
      </c>
      <c r="D11" s="9">
        <v>0.99999999999999989</v>
      </c>
      <c r="E11" s="20">
        <v>0</v>
      </c>
      <c r="F11" s="9">
        <v>200</v>
      </c>
      <c r="G11" s="9">
        <v>99.999999999999105</v>
      </c>
      <c r="H11" s="9">
        <v>99.999999999999389</v>
      </c>
    </row>
    <row r="12" spans="1:8" x14ac:dyDescent="0.35">
      <c r="B12" s="9" t="s">
        <v>83</v>
      </c>
      <c r="C12" s="9" t="s">
        <v>66</v>
      </c>
      <c r="D12" s="9">
        <v>2.2204460492503131E-16</v>
      </c>
      <c r="E12" s="9">
        <v>0</v>
      </c>
      <c r="F12" s="9">
        <v>200</v>
      </c>
      <c r="G12" s="9">
        <v>499.99999999999926</v>
      </c>
      <c r="H12" s="9">
        <v>100.00000000000084</v>
      </c>
    </row>
    <row r="13" spans="1:8" x14ac:dyDescent="0.35">
      <c r="B13" s="9" t="s">
        <v>37</v>
      </c>
      <c r="C13" s="9" t="s">
        <v>24</v>
      </c>
      <c r="D13" s="9">
        <v>200</v>
      </c>
      <c r="E13" s="9">
        <v>0</v>
      </c>
      <c r="F13" s="9">
        <v>-60</v>
      </c>
      <c r="G13" s="9">
        <v>160.00000000000003</v>
      </c>
      <c r="H13" s="9">
        <v>1E+30</v>
      </c>
    </row>
    <row r="14" spans="1:8" x14ac:dyDescent="0.35">
      <c r="B14" s="9" t="s">
        <v>38</v>
      </c>
      <c r="C14" s="9" t="s">
        <v>25</v>
      </c>
      <c r="D14" s="9">
        <v>39.999999999999986</v>
      </c>
      <c r="E14" s="9">
        <v>0</v>
      </c>
      <c r="F14" s="9">
        <v>100</v>
      </c>
      <c r="G14" s="9">
        <v>9.9999999999999183</v>
      </c>
      <c r="H14" s="9">
        <v>6.666666666666722</v>
      </c>
    </row>
    <row r="15" spans="1:8" x14ac:dyDescent="0.35">
      <c r="B15" s="9" t="s">
        <v>39</v>
      </c>
      <c r="C15" s="9" t="s">
        <v>84</v>
      </c>
      <c r="D15" s="9">
        <v>0</v>
      </c>
      <c r="E15" s="9">
        <v>0</v>
      </c>
      <c r="F15" s="9">
        <v>110</v>
      </c>
      <c r="G15" s="9">
        <v>1E+30</v>
      </c>
      <c r="H15" s="9">
        <v>4.9999999999999547</v>
      </c>
    </row>
    <row r="16" spans="1:8" x14ac:dyDescent="0.35">
      <c r="B16" s="9" t="s">
        <v>27</v>
      </c>
      <c r="C16" s="9" t="s">
        <v>67</v>
      </c>
      <c r="D16" s="9">
        <v>9.9999999999999662</v>
      </c>
      <c r="E16" s="9">
        <v>0</v>
      </c>
      <c r="F16" s="9">
        <v>150</v>
      </c>
      <c r="G16" s="9">
        <v>9.9999999999999432</v>
      </c>
      <c r="H16" s="9">
        <v>9.9999999999999716</v>
      </c>
    </row>
    <row r="17" spans="1:8" ht="15" thickBot="1" x14ac:dyDescent="0.4">
      <c r="B17" s="10" t="s">
        <v>58</v>
      </c>
      <c r="C17" s="10" t="s">
        <v>68</v>
      </c>
      <c r="D17" s="10">
        <v>0</v>
      </c>
      <c r="E17" s="10">
        <v>20.000000000000163</v>
      </c>
      <c r="F17" s="10">
        <v>20</v>
      </c>
      <c r="G17" s="10">
        <v>1E+30</v>
      </c>
      <c r="H17" s="10">
        <v>20.000000000000163</v>
      </c>
    </row>
    <row r="19" spans="1:8" ht="15" thickBot="1" x14ac:dyDescent="0.4">
      <c r="A19" t="s">
        <v>21</v>
      </c>
    </row>
    <row r="20" spans="1:8" x14ac:dyDescent="0.35">
      <c r="B20" s="41"/>
      <c r="C20" s="41"/>
      <c r="D20" s="41" t="s">
        <v>18</v>
      </c>
      <c r="E20" s="41" t="s">
        <v>34</v>
      </c>
      <c r="F20" s="41" t="s">
        <v>35</v>
      </c>
      <c r="G20" s="41" t="s">
        <v>31</v>
      </c>
      <c r="H20" s="41" t="s">
        <v>31</v>
      </c>
    </row>
    <row r="21" spans="1:8" ht="15" thickBot="1" x14ac:dyDescent="0.4">
      <c r="B21" s="42" t="s">
        <v>16</v>
      </c>
      <c r="C21" s="42" t="s">
        <v>17</v>
      </c>
      <c r="D21" s="42" t="s">
        <v>19</v>
      </c>
      <c r="E21" s="42" t="s">
        <v>5</v>
      </c>
      <c r="F21" s="42" t="s">
        <v>36</v>
      </c>
      <c r="G21" s="42" t="s">
        <v>32</v>
      </c>
      <c r="H21" s="42" t="s">
        <v>33</v>
      </c>
    </row>
    <row r="22" spans="1:8" x14ac:dyDescent="0.35">
      <c r="B22" s="9" t="s">
        <v>86</v>
      </c>
      <c r="C22" s="9" t="s">
        <v>61</v>
      </c>
      <c r="D22" s="9">
        <v>249.99999999999997</v>
      </c>
      <c r="E22" s="20">
        <v>100.00000000000001</v>
      </c>
      <c r="F22" s="9">
        <v>250</v>
      </c>
      <c r="G22" s="9">
        <v>159.99999999999997</v>
      </c>
      <c r="H22" s="9">
        <v>20.000000000000039</v>
      </c>
    </row>
    <row r="23" spans="1:8" x14ac:dyDescent="0.35">
      <c r="B23" s="9" t="s">
        <v>96</v>
      </c>
      <c r="C23" s="9" t="s">
        <v>85</v>
      </c>
      <c r="D23" s="9">
        <v>1</v>
      </c>
      <c r="E23" s="9">
        <v>0</v>
      </c>
      <c r="F23" s="9">
        <v>1</v>
      </c>
      <c r="G23" s="9">
        <v>1E+30</v>
      </c>
      <c r="H23" s="9">
        <v>-1.1102230246251565E-16</v>
      </c>
    </row>
    <row r="24" spans="1:8" x14ac:dyDescent="0.35">
      <c r="B24" s="9" t="s">
        <v>94</v>
      </c>
      <c r="C24" s="9" t="s">
        <v>95</v>
      </c>
      <c r="D24" s="9">
        <v>2</v>
      </c>
      <c r="E24" s="20">
        <v>700.00000000000261</v>
      </c>
      <c r="F24" s="9">
        <v>2</v>
      </c>
      <c r="G24" s="9">
        <v>0</v>
      </c>
      <c r="H24" s="9">
        <v>0.99999999999999989</v>
      </c>
    </row>
    <row r="25" spans="1:8" x14ac:dyDescent="0.35">
      <c r="B25" s="9" t="s">
        <v>37</v>
      </c>
      <c r="C25" s="9" t="s">
        <v>24</v>
      </c>
      <c r="D25" s="9">
        <v>200</v>
      </c>
      <c r="E25" s="9">
        <v>-160.00000000000003</v>
      </c>
      <c r="F25" s="9">
        <v>0</v>
      </c>
      <c r="G25" s="9">
        <v>20.000000000000039</v>
      </c>
      <c r="H25" s="9">
        <v>159.99999999999997</v>
      </c>
    </row>
    <row r="26" spans="1:8" x14ac:dyDescent="0.35">
      <c r="B26" s="9" t="s">
        <v>38</v>
      </c>
      <c r="C26" s="9" t="s">
        <v>25</v>
      </c>
      <c r="D26" s="9">
        <v>39.999999999999986</v>
      </c>
      <c r="E26" s="9">
        <v>0</v>
      </c>
      <c r="F26" s="9">
        <v>0</v>
      </c>
      <c r="G26" s="9">
        <v>1E+30</v>
      </c>
      <c r="H26" s="9">
        <v>159.99999999999997</v>
      </c>
    </row>
    <row r="27" spans="1:8" x14ac:dyDescent="0.35">
      <c r="B27" s="9" t="s">
        <v>39</v>
      </c>
      <c r="C27" s="9" t="s">
        <v>84</v>
      </c>
      <c r="D27" s="9">
        <v>0</v>
      </c>
      <c r="E27" s="9">
        <v>-1.2499999999999885</v>
      </c>
      <c r="F27" s="9">
        <v>0</v>
      </c>
      <c r="G27" s="9">
        <v>0</v>
      </c>
      <c r="H27" s="9">
        <v>80</v>
      </c>
    </row>
    <row r="28" spans="1:8" x14ac:dyDescent="0.35">
      <c r="B28" s="9" t="s">
        <v>27</v>
      </c>
      <c r="C28" s="9" t="s">
        <v>67</v>
      </c>
      <c r="D28" s="9">
        <v>9.9999999999999662</v>
      </c>
      <c r="E28" s="9">
        <v>0</v>
      </c>
      <c r="F28" s="9">
        <v>0</v>
      </c>
      <c r="G28" s="9">
        <v>1E+30</v>
      </c>
      <c r="H28" s="9">
        <v>90.000000000000014</v>
      </c>
    </row>
    <row r="29" spans="1:8" x14ac:dyDescent="0.35">
      <c r="B29" s="9" t="s">
        <v>58</v>
      </c>
      <c r="C29" s="9" t="s">
        <v>68</v>
      </c>
      <c r="D29" s="9">
        <v>0</v>
      </c>
      <c r="E29" s="20">
        <v>0</v>
      </c>
      <c r="F29" s="9">
        <v>0</v>
      </c>
      <c r="G29" s="9">
        <v>1E+30</v>
      </c>
      <c r="H29" s="9">
        <v>0</v>
      </c>
    </row>
    <row r="30" spans="1:8" x14ac:dyDescent="0.35">
      <c r="B30" s="9" t="s">
        <v>37</v>
      </c>
      <c r="C30" s="9" t="s">
        <v>24</v>
      </c>
      <c r="D30" s="9">
        <v>200</v>
      </c>
      <c r="E30" s="9">
        <v>0</v>
      </c>
      <c r="F30" s="9">
        <v>0</v>
      </c>
      <c r="G30" s="9">
        <v>200</v>
      </c>
      <c r="H30" s="9">
        <v>1E+30</v>
      </c>
    </row>
    <row r="31" spans="1:8" x14ac:dyDescent="0.35">
      <c r="B31" s="9" t="s">
        <v>38</v>
      </c>
      <c r="C31" s="9" t="s">
        <v>25</v>
      </c>
      <c r="D31" s="9">
        <v>39.999999999999986</v>
      </c>
      <c r="E31" s="9">
        <v>0</v>
      </c>
      <c r="F31" s="9">
        <v>0</v>
      </c>
      <c r="G31" s="9">
        <v>20.000000000000036</v>
      </c>
      <c r="H31" s="9">
        <v>1E+30</v>
      </c>
    </row>
    <row r="32" spans="1:8" x14ac:dyDescent="0.35">
      <c r="B32" s="9" t="s">
        <v>39</v>
      </c>
      <c r="C32" s="9" t="s">
        <v>84</v>
      </c>
      <c r="D32" s="9">
        <v>0</v>
      </c>
      <c r="E32" s="9">
        <v>11.249999999999989</v>
      </c>
      <c r="F32" s="9">
        <v>0</v>
      </c>
      <c r="G32" s="9">
        <v>17.777777777777811</v>
      </c>
      <c r="H32" s="9">
        <v>0</v>
      </c>
    </row>
    <row r="33" spans="2:8" x14ac:dyDescent="0.35">
      <c r="B33" s="9" t="s">
        <v>27</v>
      </c>
      <c r="C33" s="9" t="s">
        <v>67</v>
      </c>
      <c r="D33" s="9">
        <v>9.9999999999999662</v>
      </c>
      <c r="E33" s="9">
        <v>50.000000000000043</v>
      </c>
      <c r="F33" s="9">
        <v>0</v>
      </c>
      <c r="G33" s="9">
        <v>20.000000000000032</v>
      </c>
      <c r="H33" s="9">
        <v>9.9999999999999627</v>
      </c>
    </row>
    <row r="34" spans="2:8" ht="15" thickBot="1" x14ac:dyDescent="0.4">
      <c r="B34" s="10" t="s">
        <v>58</v>
      </c>
      <c r="C34" s="10" t="s">
        <v>68</v>
      </c>
      <c r="D34" s="10">
        <v>0</v>
      </c>
      <c r="E34" s="10">
        <v>99.999999999999844</v>
      </c>
      <c r="F34" s="10">
        <v>0</v>
      </c>
      <c r="G34" s="10">
        <v>0</v>
      </c>
      <c r="H34" s="10">
        <v>4.9999999999999991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Y20"/>
  <sheetViews>
    <sheetView topLeftCell="A3" workbookViewId="0">
      <selection activeCell="S20" sqref="C5:S20"/>
    </sheetView>
  </sheetViews>
  <sheetFormatPr defaultRowHeight="14.5" x14ac:dyDescent="0.35"/>
  <cols>
    <col min="3" max="3" width="32.36328125" customWidth="1"/>
    <col min="4" max="4" width="14.453125" customWidth="1"/>
    <col min="5" max="5" width="9.453125" customWidth="1"/>
    <col min="6" max="6" width="9.54296875" customWidth="1"/>
    <col min="7" max="8" width="12.08984375" customWidth="1"/>
    <col min="9" max="9" width="13.36328125" customWidth="1"/>
    <col min="10" max="10" width="11.36328125" customWidth="1"/>
    <col min="12" max="12" width="10.453125" customWidth="1"/>
    <col min="14" max="14" width="11.6328125" customWidth="1"/>
    <col min="15" max="15" width="8.453125" customWidth="1"/>
    <col min="17" max="17" width="10.54296875" customWidth="1"/>
    <col min="19" max="19" width="16.54296875" customWidth="1"/>
  </cols>
  <sheetData>
    <row r="1" spans="3:25" x14ac:dyDescent="0.35">
      <c r="G1" t="s">
        <v>89</v>
      </c>
    </row>
    <row r="2" spans="3:25" x14ac:dyDescent="0.35">
      <c r="C2" s="1" t="s">
        <v>0</v>
      </c>
      <c r="D2" s="1" t="s">
        <v>43</v>
      </c>
    </row>
    <row r="3" spans="3:25" x14ac:dyDescent="0.35">
      <c r="C3" s="2">
        <v>250</v>
      </c>
      <c r="D3" s="12">
        <f>'#14 Sensitivity Report'!E22</f>
        <v>100.00000000000001</v>
      </c>
      <c r="Y3" s="31" t="s">
        <v>78</v>
      </c>
    </row>
    <row r="4" spans="3:25" x14ac:dyDescent="0.35">
      <c r="Y4" s="30">
        <f>MIN($M$11)</f>
        <v>-5700.0000000000073</v>
      </c>
    </row>
    <row r="5" spans="3:25" ht="43.5" x14ac:dyDescent="0.35">
      <c r="C5" s="16"/>
      <c r="D5" s="16" t="s">
        <v>4</v>
      </c>
      <c r="E5" s="16" t="s">
        <v>9</v>
      </c>
      <c r="F5" s="16" t="s">
        <v>5</v>
      </c>
      <c r="G5" s="16" t="s">
        <v>6</v>
      </c>
      <c r="H5" s="16" t="s">
        <v>10</v>
      </c>
      <c r="I5" s="16" t="s">
        <v>13</v>
      </c>
      <c r="J5" s="16" t="s">
        <v>28</v>
      </c>
      <c r="K5" s="16" t="s">
        <v>7</v>
      </c>
      <c r="L5" s="16" t="s">
        <v>59</v>
      </c>
      <c r="M5" s="16" t="s">
        <v>8</v>
      </c>
      <c r="N5" s="16" t="s">
        <v>47</v>
      </c>
      <c r="O5" s="16" t="s">
        <v>48</v>
      </c>
      <c r="P5" s="16" t="s">
        <v>49</v>
      </c>
      <c r="Q5" s="16" t="s">
        <v>46</v>
      </c>
      <c r="R5" s="16" t="s">
        <v>76</v>
      </c>
      <c r="S5" s="32" t="s">
        <v>91</v>
      </c>
      <c r="Y5" s="29">
        <f>COUNT($G$7:$G$10,$K$6:$K$10)</f>
        <v>9</v>
      </c>
    </row>
    <row r="6" spans="3:25" x14ac:dyDescent="0.35">
      <c r="C6" s="1" t="s">
        <v>3</v>
      </c>
      <c r="D6" s="2">
        <v>200</v>
      </c>
      <c r="E6" s="2">
        <v>0</v>
      </c>
      <c r="F6" s="2">
        <v>-60</v>
      </c>
      <c r="G6" s="2">
        <v>1</v>
      </c>
      <c r="H6" s="2">
        <v>0</v>
      </c>
      <c r="I6" s="25">
        <f>G6*E6</f>
        <v>0</v>
      </c>
      <c r="J6" s="25">
        <f>G6*D6</f>
        <v>200</v>
      </c>
      <c r="K6" s="13">
        <v>200</v>
      </c>
      <c r="L6" s="5">
        <f>K6</f>
        <v>200</v>
      </c>
      <c r="M6" s="5">
        <f>F6*K6+G6*H6</f>
        <v>-12000</v>
      </c>
      <c r="N6" s="5">
        <f>K6*$D$3</f>
        <v>20000.000000000004</v>
      </c>
      <c r="O6" s="2">
        <f>0</f>
        <v>0</v>
      </c>
      <c r="P6" s="5">
        <f>N6+O6</f>
        <v>20000.000000000004</v>
      </c>
      <c r="Q6" s="5">
        <f>K6*F6+G6*H6</f>
        <v>-12000</v>
      </c>
      <c r="R6" s="7"/>
      <c r="S6" s="18"/>
      <c r="Y6" s="29" t="b">
        <f>$L$11=$C$3</f>
        <v>1</v>
      </c>
    </row>
    <row r="7" spans="3:25" x14ac:dyDescent="0.35">
      <c r="C7" s="1" t="s">
        <v>1</v>
      </c>
      <c r="D7" s="2">
        <v>200</v>
      </c>
      <c r="E7" s="2">
        <v>20</v>
      </c>
      <c r="F7" s="2">
        <v>100</v>
      </c>
      <c r="G7" s="27">
        <v>1</v>
      </c>
      <c r="H7" s="2">
        <v>600</v>
      </c>
      <c r="I7" s="25">
        <f t="shared" ref="I7:I10" si="0">G7*E7</f>
        <v>20</v>
      </c>
      <c r="J7" s="25">
        <f t="shared" ref="J7:J10" si="1">G7*D7</f>
        <v>200</v>
      </c>
      <c r="K7" s="13">
        <v>39.999999999999986</v>
      </c>
      <c r="L7" s="5">
        <f t="shared" ref="L7:L9" si="2">K7</f>
        <v>39.999999999999986</v>
      </c>
      <c r="M7" s="5">
        <f>F7*K7+G7*H7</f>
        <v>4599.9999999999982</v>
      </c>
      <c r="N7" s="5">
        <f t="shared" ref="N7:N9" si="3">K7*$D$3</f>
        <v>3999.9999999999991</v>
      </c>
      <c r="O7" s="26">
        <f>D16</f>
        <v>700.00000000000261</v>
      </c>
      <c r="P7" s="5">
        <f>N7+O7</f>
        <v>4700.0000000000018</v>
      </c>
      <c r="Q7" s="5">
        <f t="shared" ref="Q7:Q9" si="4">K7*F7+G7*H7</f>
        <v>4599.9999999999982</v>
      </c>
      <c r="R7" s="5">
        <f>P7-Q7</f>
        <v>100.00000000000364</v>
      </c>
      <c r="S7" s="18">
        <f>-'#14 Sensitivity Report'!E9</f>
        <v>99.999999999999361</v>
      </c>
      <c r="Y7" s="29" t="b">
        <f t="array" ref="Y7">$G$7:$G$10&lt;=1</f>
        <v>1</v>
      </c>
    </row>
    <row r="8" spans="3:25" x14ac:dyDescent="0.35">
      <c r="C8" s="1" t="s">
        <v>80</v>
      </c>
      <c r="D8" s="2">
        <v>100</v>
      </c>
      <c r="E8" s="2">
        <v>20</v>
      </c>
      <c r="F8" s="2">
        <v>110</v>
      </c>
      <c r="G8" s="27">
        <v>0</v>
      </c>
      <c r="H8" s="2">
        <v>600</v>
      </c>
      <c r="I8" s="25">
        <f t="shared" si="0"/>
        <v>0</v>
      </c>
      <c r="J8" s="25">
        <f t="shared" si="1"/>
        <v>0</v>
      </c>
      <c r="K8" s="13">
        <v>0</v>
      </c>
      <c r="L8" s="5">
        <f t="shared" si="2"/>
        <v>0</v>
      </c>
      <c r="M8" s="5">
        <f>F8*K8+G8*H8</f>
        <v>0</v>
      </c>
      <c r="N8" s="5">
        <f t="shared" si="3"/>
        <v>0</v>
      </c>
      <c r="O8" s="26">
        <f>E16</f>
        <v>0</v>
      </c>
      <c r="P8" s="5">
        <f>N8+O8</f>
        <v>0</v>
      </c>
      <c r="Q8" s="5">
        <f t="shared" si="4"/>
        <v>0</v>
      </c>
      <c r="R8" s="5">
        <f>P8-Q8</f>
        <v>0</v>
      </c>
      <c r="S8" s="18">
        <f>-'#14 Sensitivity Report'!E10</f>
        <v>0</v>
      </c>
      <c r="Y8" s="29"/>
    </row>
    <row r="9" spans="3:25" x14ac:dyDescent="0.35">
      <c r="C9" s="1" t="s">
        <v>62</v>
      </c>
      <c r="D9" s="2">
        <v>100</v>
      </c>
      <c r="E9" s="2">
        <v>10</v>
      </c>
      <c r="F9" s="2">
        <v>150</v>
      </c>
      <c r="G9" s="27">
        <v>0.99999999999999989</v>
      </c>
      <c r="H9" s="2">
        <v>200</v>
      </c>
      <c r="I9" s="25">
        <f t="shared" si="0"/>
        <v>9.9999999999999982</v>
      </c>
      <c r="J9" s="25">
        <f t="shared" si="1"/>
        <v>99.999999999999986</v>
      </c>
      <c r="K9" s="13">
        <v>9.9999999999999662</v>
      </c>
      <c r="L9" s="5">
        <f t="shared" si="2"/>
        <v>9.9999999999999662</v>
      </c>
      <c r="M9" s="5">
        <f>F9*K9+G9*H9</f>
        <v>1699.999999999995</v>
      </c>
      <c r="N9" s="5">
        <f t="shared" si="3"/>
        <v>999.99999999999682</v>
      </c>
      <c r="O9" s="26">
        <f>F16</f>
        <v>700.0000000000025</v>
      </c>
      <c r="P9" s="5">
        <f>N9+O9</f>
        <v>1699.9999999999993</v>
      </c>
      <c r="Q9" s="5">
        <f t="shared" si="4"/>
        <v>1699.999999999995</v>
      </c>
      <c r="R9" s="5">
        <f>P9-Q9</f>
        <v>4.3200998334214091E-12</v>
      </c>
      <c r="S9" s="18">
        <f>-'#14 Sensitivity Report'!E11</f>
        <v>0</v>
      </c>
      <c r="Y9" s="29" t="b">
        <f>$D$20&lt;=1</f>
        <v>1</v>
      </c>
    </row>
    <row r="10" spans="3:25" x14ac:dyDescent="0.35">
      <c r="C10" s="1" t="s">
        <v>63</v>
      </c>
      <c r="D10" s="2">
        <v>5</v>
      </c>
      <c r="E10" s="2">
        <v>5</v>
      </c>
      <c r="F10" s="2">
        <v>-20</v>
      </c>
      <c r="G10" s="27">
        <v>2.2204460492503131E-16</v>
      </c>
      <c r="H10" s="2">
        <v>200</v>
      </c>
      <c r="I10" s="25">
        <f t="shared" si="0"/>
        <v>1.1102230246251565E-15</v>
      </c>
      <c r="J10" s="25">
        <f t="shared" si="1"/>
        <v>1.1102230246251565E-15</v>
      </c>
      <c r="K10" s="13">
        <v>0</v>
      </c>
      <c r="L10" s="5">
        <f>-K10</f>
        <v>0</v>
      </c>
      <c r="M10" s="5">
        <f>-F10*K10+G10*H10</f>
        <v>4.4408920985006262E-14</v>
      </c>
      <c r="N10" s="5">
        <f>-K10*$D$3</f>
        <v>0</v>
      </c>
      <c r="O10" s="26">
        <f>G16</f>
        <v>1.554312234475225E-13</v>
      </c>
      <c r="P10" s="5">
        <f>N10+O10</f>
        <v>1.554312234475225E-13</v>
      </c>
      <c r="Q10" s="5">
        <f>-K10*F10+G10*H10</f>
        <v>4.4408920985006262E-14</v>
      </c>
      <c r="R10" s="5">
        <f>P10-Q10</f>
        <v>1.1102230246251623E-13</v>
      </c>
      <c r="S10" s="18">
        <f>-'#14 Sensitivity Report'!E12</f>
        <v>0</v>
      </c>
      <c r="Y10" s="29" t="b">
        <f t="array" ref="Y10">$K$6:$K$10&gt;=$I$6:$I$10</f>
        <v>1</v>
      </c>
    </row>
    <row r="11" spans="3:25" x14ac:dyDescent="0.35">
      <c r="C11" s="1"/>
      <c r="D11" s="1"/>
      <c r="E11" s="1"/>
      <c r="F11" s="1" t="s">
        <v>44</v>
      </c>
      <c r="G11" s="1">
        <f>SUM(G7:G10)</f>
        <v>2</v>
      </c>
      <c r="H11" s="1"/>
      <c r="I11" s="1"/>
      <c r="J11" s="1" t="s">
        <v>11</v>
      </c>
      <c r="K11" s="1"/>
      <c r="L11" s="14">
        <f>SUM(L6:L10)</f>
        <v>249.99999999999997</v>
      </c>
      <c r="M11" s="6">
        <f>SUM(M6:M10)</f>
        <v>-5700.0000000000073</v>
      </c>
      <c r="Y11" s="29" t="b">
        <f>$K$6&lt;=$F$14</f>
        <v>0</v>
      </c>
    </row>
    <row r="12" spans="3:25" x14ac:dyDescent="0.35">
      <c r="Y12" s="29" t="b">
        <f t="array" ref="Y12">$G$7:$G$10&gt;=0</f>
        <v>1</v>
      </c>
    </row>
    <row r="13" spans="3:25" ht="43.5" x14ac:dyDescent="0.35">
      <c r="C13" s="1"/>
      <c r="D13" s="16" t="str">
        <f>C7</f>
        <v>Gen 1</v>
      </c>
      <c r="E13" s="16" t="str">
        <f>C8</f>
        <v>Gen 2</v>
      </c>
      <c r="F13" s="16" t="str">
        <f>C9</f>
        <v>SSG 1 Gen mode</v>
      </c>
      <c r="G13" s="16" t="str">
        <f>C10</f>
        <v>SSG 1 Synch con mode</v>
      </c>
      <c r="H13" s="16" t="s">
        <v>81</v>
      </c>
      <c r="Y13" s="29" t="b">
        <f t="array" ref="Y13">$K$6:$K$10&lt;=$J$6:$J$10</f>
        <v>1</v>
      </c>
    </row>
    <row r="14" spans="3:25" x14ac:dyDescent="0.35">
      <c r="C14" s="1" t="s">
        <v>79</v>
      </c>
      <c r="D14" s="2">
        <v>1</v>
      </c>
      <c r="E14" s="2">
        <v>1</v>
      </c>
      <c r="F14" s="2">
        <v>1</v>
      </c>
      <c r="G14" s="2">
        <v>1</v>
      </c>
      <c r="H14" s="2">
        <v>2</v>
      </c>
      <c r="Y14" s="29">
        <f>{32767,32767,0.000001,0.01,TRUE,FALSE,FALSE,1,2,1,0.0001,TRUE}</f>
        <v>32767</v>
      </c>
    </row>
    <row r="15" spans="3:25" x14ac:dyDescent="0.35">
      <c r="C15" s="1" t="s">
        <v>93</v>
      </c>
      <c r="D15" s="25">
        <f>G7*D14</f>
        <v>1</v>
      </c>
      <c r="E15" s="25">
        <f>G8*E14</f>
        <v>0</v>
      </c>
      <c r="F15" s="25">
        <f>G9*F14</f>
        <v>0.99999999999999989</v>
      </c>
      <c r="G15" s="25">
        <f>G10*G14</f>
        <v>2.2204460492503131E-16</v>
      </c>
      <c r="H15" s="35">
        <f>SUM(D15:G15)</f>
        <v>2</v>
      </c>
      <c r="M15" s="17"/>
      <c r="Y15" s="29">
        <f>{0,0,2,100,0,FALSE,FALSE,0.075,0,0,FALSE,30}</f>
        <v>0</v>
      </c>
    </row>
    <row r="16" spans="3:25" x14ac:dyDescent="0.35">
      <c r="C16" s="1" t="s">
        <v>87</v>
      </c>
      <c r="D16" s="26">
        <f>D15*$D$18</f>
        <v>700.00000000000261</v>
      </c>
      <c r="E16" s="26">
        <f t="shared" ref="E16:G16" si="5">E15*$D$18</f>
        <v>0</v>
      </c>
      <c r="F16" s="26">
        <f t="shared" si="5"/>
        <v>700.0000000000025</v>
      </c>
      <c r="G16" s="26">
        <f t="shared" si="5"/>
        <v>1.554312234475225E-13</v>
      </c>
    </row>
    <row r="18" spans="3:4" x14ac:dyDescent="0.35">
      <c r="C18" s="1" t="s">
        <v>88</v>
      </c>
      <c r="D18" s="18">
        <f>'#14 Sensitivity Report'!E24</f>
        <v>700.00000000000261</v>
      </c>
    </row>
    <row r="20" spans="3:4" x14ac:dyDescent="0.35">
      <c r="C20" s="1" t="s">
        <v>64</v>
      </c>
      <c r="D20" s="7">
        <f>G9+G10</f>
        <v>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27"/>
  <sheetViews>
    <sheetView workbookViewId="0">
      <selection activeCell="H16" sqref="H16"/>
    </sheetView>
  </sheetViews>
  <sheetFormatPr defaultRowHeight="14.5" x14ac:dyDescent="0.35"/>
  <cols>
    <col min="3" max="3" width="32.36328125" customWidth="1"/>
    <col min="4" max="4" width="14.453125" customWidth="1"/>
    <col min="5" max="5" width="12" customWidth="1"/>
    <col min="6" max="6" width="9.54296875" customWidth="1"/>
    <col min="7" max="8" width="12.08984375" customWidth="1"/>
    <col min="9" max="9" width="13.36328125" customWidth="1"/>
    <col min="10" max="10" width="11.36328125" customWidth="1"/>
    <col min="11" max="11" width="11.90625" customWidth="1"/>
    <col min="12" max="12" width="10.453125" customWidth="1"/>
    <col min="13" max="13" width="10.08984375" customWidth="1"/>
    <col min="14" max="15" width="11.6328125" customWidth="1"/>
    <col min="16" max="16" width="12.08984375" customWidth="1"/>
    <col min="17" max="17" width="11.81640625" customWidth="1"/>
    <col min="18" max="18" width="10.54296875" customWidth="1"/>
    <col min="20" max="20" width="16.54296875" customWidth="1"/>
  </cols>
  <sheetData>
    <row r="1" spans="3:26" x14ac:dyDescent="0.35">
      <c r="G1" t="s">
        <v>89</v>
      </c>
    </row>
    <row r="2" spans="3:26" x14ac:dyDescent="0.35">
      <c r="C2" s="1" t="s">
        <v>0</v>
      </c>
      <c r="D2" s="1" t="s">
        <v>43</v>
      </c>
    </row>
    <row r="3" spans="3:26" x14ac:dyDescent="0.35">
      <c r="C3" s="2">
        <v>2500</v>
      </c>
      <c r="D3" s="18"/>
      <c r="Z3" s="31" t="s">
        <v>78</v>
      </c>
    </row>
    <row r="4" spans="3:26" x14ac:dyDescent="0.35">
      <c r="Z4" s="30">
        <f>MIN($M$12)</f>
        <v>-140735.95041322306</v>
      </c>
    </row>
    <row r="5" spans="3:26" ht="29" x14ac:dyDescent="0.35">
      <c r="C5" s="16"/>
      <c r="D5" s="16" t="s">
        <v>4</v>
      </c>
      <c r="E5" s="16" t="s">
        <v>9</v>
      </c>
      <c r="F5" s="16" t="s">
        <v>5</v>
      </c>
      <c r="G5" s="16" t="s">
        <v>6</v>
      </c>
      <c r="H5" s="16" t="s">
        <v>10</v>
      </c>
      <c r="I5" s="16" t="s">
        <v>13</v>
      </c>
      <c r="J5" s="16" t="s">
        <v>28</v>
      </c>
      <c r="K5" s="16" t="s">
        <v>7</v>
      </c>
      <c r="L5" s="16" t="s">
        <v>59</v>
      </c>
      <c r="M5" s="16" t="s">
        <v>8</v>
      </c>
      <c r="Z5" s="29">
        <f>COUNT($G$7:$G$11,$K$6:$K$11)</f>
        <v>11</v>
      </c>
    </row>
    <row r="6" spans="3:26" x14ac:dyDescent="0.35">
      <c r="C6" s="1" t="s">
        <v>3</v>
      </c>
      <c r="D6" s="2">
        <v>3000</v>
      </c>
      <c r="E6" s="2">
        <v>0</v>
      </c>
      <c r="F6" s="2">
        <v>-60</v>
      </c>
      <c r="G6" s="2">
        <v>1</v>
      </c>
      <c r="H6" s="2">
        <v>0</v>
      </c>
      <c r="I6" s="25">
        <f>G6*E6</f>
        <v>0</v>
      </c>
      <c r="J6" s="25">
        <f>G6*D6</f>
        <v>3000</v>
      </c>
      <c r="K6" s="13">
        <v>2459.5041322314041</v>
      </c>
      <c r="L6" s="5">
        <f>K6</f>
        <v>2459.5041322314041</v>
      </c>
      <c r="M6" s="5">
        <f>F6*K6+G6*H6</f>
        <v>-147570.24793388424</v>
      </c>
      <c r="Z6" s="29" t="b">
        <f>$L$12=$C$3</f>
        <v>1</v>
      </c>
    </row>
    <row r="7" spans="3:26" x14ac:dyDescent="0.35">
      <c r="C7" s="1" t="s">
        <v>1</v>
      </c>
      <c r="D7" s="2">
        <v>300</v>
      </c>
      <c r="E7" s="2">
        <v>20</v>
      </c>
      <c r="F7" s="2">
        <v>100</v>
      </c>
      <c r="G7" s="27">
        <v>1</v>
      </c>
      <c r="H7" s="2">
        <v>600</v>
      </c>
      <c r="I7" s="25">
        <f t="shared" ref="I7:I11" si="0">G7*E7</f>
        <v>20</v>
      </c>
      <c r="J7" s="25">
        <f t="shared" ref="J7:J11" si="1">G7*D7</f>
        <v>300</v>
      </c>
      <c r="K7" s="13">
        <v>19.999999999999989</v>
      </c>
      <c r="L7" s="5">
        <f t="shared" ref="L7:L10" si="2">K7</f>
        <v>19.999999999999989</v>
      </c>
      <c r="M7" s="5">
        <f>F7*K7+G7*H7</f>
        <v>2599.9999999999991</v>
      </c>
      <c r="Z7" s="29" t="b">
        <f t="array" ref="Z7">$G$7:$G$11&lt;=1</f>
        <v>1</v>
      </c>
    </row>
    <row r="8" spans="3:26" x14ac:dyDescent="0.35">
      <c r="C8" s="1" t="s">
        <v>80</v>
      </c>
      <c r="D8" s="2">
        <v>200</v>
      </c>
      <c r="E8" s="2">
        <v>20</v>
      </c>
      <c r="F8" s="2">
        <v>140</v>
      </c>
      <c r="G8" s="27">
        <v>0.52479338842975598</v>
      </c>
      <c r="H8" s="2">
        <v>600</v>
      </c>
      <c r="I8" s="25">
        <f t="shared" si="0"/>
        <v>10.495867768595119</v>
      </c>
      <c r="J8" s="25">
        <f t="shared" si="1"/>
        <v>104.9586776859512</v>
      </c>
      <c r="K8" s="13">
        <v>10.495867768595119</v>
      </c>
      <c r="L8" s="5">
        <f t="shared" si="2"/>
        <v>10.495867768595119</v>
      </c>
      <c r="M8" s="5">
        <f>F8*K8+G8*H8</f>
        <v>1784.2975206611702</v>
      </c>
      <c r="Z8" s="29"/>
    </row>
    <row r="9" spans="3:26" x14ac:dyDescent="0.35">
      <c r="C9" s="1" t="s">
        <v>107</v>
      </c>
      <c r="D9" s="2">
        <v>100</v>
      </c>
      <c r="E9" s="2">
        <v>15</v>
      </c>
      <c r="F9" s="2">
        <v>110</v>
      </c>
      <c r="G9" s="27">
        <v>1</v>
      </c>
      <c r="H9" s="2">
        <v>500</v>
      </c>
      <c r="I9" s="25">
        <f t="shared" ref="I9" si="3">G9*E9</f>
        <v>15</v>
      </c>
      <c r="J9" s="25">
        <f t="shared" ref="J9" si="4">G9*D9</f>
        <v>100</v>
      </c>
      <c r="K9" s="13">
        <v>14.999999999999986</v>
      </c>
      <c r="L9" s="5">
        <f t="shared" si="2"/>
        <v>14.999999999999986</v>
      </c>
      <c r="M9" s="5">
        <f>F9*K9+G9*H9</f>
        <v>2149.9999999999982</v>
      </c>
      <c r="Z9" s="29"/>
    </row>
    <row r="10" spans="3:26" x14ac:dyDescent="0.35">
      <c r="C10" s="1" t="s">
        <v>62</v>
      </c>
      <c r="D10" s="2">
        <v>100</v>
      </c>
      <c r="E10" s="2">
        <v>10</v>
      </c>
      <c r="F10" s="2">
        <v>250</v>
      </c>
      <c r="G10" s="27">
        <v>0</v>
      </c>
      <c r="H10" s="2">
        <v>200</v>
      </c>
      <c r="I10" s="25">
        <f t="shared" si="0"/>
        <v>0</v>
      </c>
      <c r="J10" s="25">
        <f t="shared" si="1"/>
        <v>0</v>
      </c>
      <c r="K10" s="13">
        <v>0</v>
      </c>
      <c r="L10" s="5">
        <f t="shared" si="2"/>
        <v>0</v>
      </c>
      <c r="M10" s="5">
        <f>F10*K10+G10*H10</f>
        <v>0</v>
      </c>
      <c r="Z10" s="29" t="b">
        <f>$D$27&lt;=1</f>
        <v>1</v>
      </c>
    </row>
    <row r="11" spans="3:26" x14ac:dyDescent="0.35">
      <c r="C11" s="1" t="s">
        <v>63</v>
      </c>
      <c r="D11" s="2">
        <v>5</v>
      </c>
      <c r="E11" s="2">
        <v>5</v>
      </c>
      <c r="F11" s="2">
        <v>-20</v>
      </c>
      <c r="G11" s="27">
        <v>0.99999999999999978</v>
      </c>
      <c r="H11" s="2">
        <v>200</v>
      </c>
      <c r="I11" s="25">
        <f t="shared" si="0"/>
        <v>4.9999999999999991</v>
      </c>
      <c r="J11" s="25">
        <f t="shared" si="1"/>
        <v>4.9999999999999991</v>
      </c>
      <c r="K11" s="13">
        <v>5.000000000000008</v>
      </c>
      <c r="L11" s="5">
        <f>-K11</f>
        <v>-5.000000000000008</v>
      </c>
      <c r="M11" s="5">
        <f>-F11*K11+G11*H11</f>
        <v>300.00000000000011</v>
      </c>
      <c r="Z11" s="29" t="b">
        <f t="array" ref="Z11">$K$6:$K$11&gt;=$I$6:$I$11</f>
        <v>1</v>
      </c>
    </row>
    <row r="12" spans="3:26" x14ac:dyDescent="0.35">
      <c r="C12" s="1"/>
      <c r="D12" s="1"/>
      <c r="E12" s="1"/>
      <c r="F12" s="1" t="s">
        <v>44</v>
      </c>
      <c r="G12" s="39">
        <f>SUM(G7:G11)</f>
        <v>3.5247933884297558</v>
      </c>
      <c r="H12" s="1"/>
      <c r="I12" s="1"/>
      <c r="J12" s="1" t="s">
        <v>11</v>
      </c>
      <c r="K12" s="1"/>
      <c r="L12" s="14">
        <f>SUM(L6:L11)</f>
        <v>2499.9999999999991</v>
      </c>
      <c r="M12" s="6">
        <f>SUM(M6:M11)</f>
        <v>-140735.95041322306</v>
      </c>
      <c r="Z12" s="29" t="b">
        <f>$K$6&lt;=$F$21</f>
        <v>0</v>
      </c>
    </row>
    <row r="13" spans="3:26" x14ac:dyDescent="0.35">
      <c r="Z13" s="29" t="b">
        <f t="array" ref="Z13">$G$7:$G$11&gt;=0</f>
        <v>1</v>
      </c>
    </row>
    <row r="14" spans="3:26" ht="43.5" x14ac:dyDescent="0.35">
      <c r="C14" s="1" t="s">
        <v>12</v>
      </c>
      <c r="D14" s="16"/>
      <c r="E14" s="16"/>
      <c r="F14" s="16" t="s">
        <v>19</v>
      </c>
      <c r="K14" s="16" t="s">
        <v>151</v>
      </c>
      <c r="L14" s="16" t="s">
        <v>100</v>
      </c>
      <c r="M14" s="16" t="s">
        <v>101</v>
      </c>
      <c r="N14" s="16" t="s">
        <v>102</v>
      </c>
      <c r="O14" s="16" t="s">
        <v>104</v>
      </c>
      <c r="P14" s="16" t="s">
        <v>105</v>
      </c>
      <c r="Q14" s="16" t="s">
        <v>103</v>
      </c>
      <c r="R14" s="16" t="s">
        <v>106</v>
      </c>
      <c r="Z14" s="29" t="b">
        <f t="array" ref="Z14">$K$6:$K$11&lt;=$J$6:$J$11</f>
        <v>1</v>
      </c>
    </row>
    <row r="15" spans="3:26" x14ac:dyDescent="0.35">
      <c r="C15" s="14">
        <f>K6</f>
        <v>2459.5041322314041</v>
      </c>
      <c r="D15" s="2"/>
      <c r="E15" s="2"/>
      <c r="F15" s="7">
        <f>R20</f>
        <v>2459.5041322314037</v>
      </c>
      <c r="K15" s="1">
        <v>0</v>
      </c>
      <c r="L15" s="2">
        <v>0</v>
      </c>
      <c r="M15" s="1"/>
      <c r="N15" s="1"/>
      <c r="O15" s="1"/>
      <c r="P15" s="1"/>
      <c r="Q15" s="1"/>
      <c r="R15" s="1"/>
      <c r="Z15" s="29">
        <f>{32767,32767,0.000001,0.01,TRUE,FALSE,FALSE,1,2,1,0.0001,TRUE}</f>
        <v>32767</v>
      </c>
    </row>
    <row r="16" spans="3:26" x14ac:dyDescent="0.35">
      <c r="K16" s="1">
        <v>1</v>
      </c>
      <c r="L16" s="2">
        <v>0</v>
      </c>
      <c r="M16" s="5">
        <v>0</v>
      </c>
      <c r="N16" s="4">
        <v>1</v>
      </c>
      <c r="O16" s="7">
        <f t="shared" ref="O16:O18" si="5">N17</f>
        <v>1</v>
      </c>
      <c r="P16" s="7">
        <f t="shared" ref="P16:P19" si="6">N16</f>
        <v>1</v>
      </c>
      <c r="Q16" s="4">
        <v>1.0000000000000002</v>
      </c>
      <c r="R16" s="37">
        <f t="shared" ref="R16:R19" si="7">Q16*M16</f>
        <v>0</v>
      </c>
      <c r="Z16" s="29">
        <f>{0,0,2,100,0,FALSE,FALSE,0.075,0,0,FALSE,30}</f>
        <v>0</v>
      </c>
    </row>
    <row r="17" spans="3:18" x14ac:dyDescent="0.35">
      <c r="C17" s="1" t="s">
        <v>64</v>
      </c>
      <c r="D17" s="36">
        <f>G10+G11</f>
        <v>0.99999999999999978</v>
      </c>
      <c r="K17" s="1">
        <v>2</v>
      </c>
      <c r="L17" s="2">
        <v>0</v>
      </c>
      <c r="M17" s="7">
        <v>0</v>
      </c>
      <c r="N17" s="4">
        <v>1</v>
      </c>
      <c r="O17" s="7">
        <f t="shared" si="5"/>
        <v>1</v>
      </c>
      <c r="P17" s="7">
        <f t="shared" si="6"/>
        <v>1</v>
      </c>
      <c r="Q17" s="4">
        <v>1.0000000000000002</v>
      </c>
      <c r="R17" s="37">
        <f t="shared" si="7"/>
        <v>0</v>
      </c>
    </row>
    <row r="18" spans="3:18" x14ac:dyDescent="0.35">
      <c r="K18" s="1">
        <v>3</v>
      </c>
      <c r="L18" s="2">
        <v>1200</v>
      </c>
      <c r="M18" s="7">
        <f>(L18-L17)/(K18-K17)</f>
        <v>1200</v>
      </c>
      <c r="N18" s="4">
        <v>1</v>
      </c>
      <c r="O18" s="7">
        <f t="shared" si="5"/>
        <v>1</v>
      </c>
      <c r="P18" s="7">
        <f t="shared" si="6"/>
        <v>1</v>
      </c>
      <c r="Q18" s="4">
        <v>1.0000000000000002</v>
      </c>
      <c r="R18" s="37">
        <f t="shared" si="7"/>
        <v>1200.0000000000002</v>
      </c>
    </row>
    <row r="19" spans="3:18" x14ac:dyDescent="0.35">
      <c r="K19" s="1">
        <v>4</v>
      </c>
      <c r="L19" s="2">
        <v>3600</v>
      </c>
      <c r="M19" s="7">
        <f>(L19-L18)/(K19-K18)</f>
        <v>2400</v>
      </c>
      <c r="N19" s="4">
        <v>1</v>
      </c>
      <c r="O19" s="7">
        <v>0</v>
      </c>
      <c r="P19" s="7">
        <f t="shared" si="6"/>
        <v>1</v>
      </c>
      <c r="Q19" s="4">
        <v>0.52479338842975154</v>
      </c>
      <c r="R19" s="37">
        <f t="shared" si="7"/>
        <v>1259.5041322314037</v>
      </c>
    </row>
    <row r="20" spans="3:18" ht="43.5" x14ac:dyDescent="0.35">
      <c r="C20" s="1"/>
      <c r="D20" s="16" t="str">
        <f>C7</f>
        <v>Gen 1</v>
      </c>
      <c r="E20" s="16" t="str">
        <f>C8</f>
        <v>Gen 2</v>
      </c>
      <c r="F20" s="16" t="str">
        <f>C10</f>
        <v>SSG 1 Gen mode</v>
      </c>
      <c r="G20" s="16" t="str">
        <f>C11</f>
        <v>SSG 1 Synch con mode</v>
      </c>
      <c r="H20" s="16" t="s">
        <v>81</v>
      </c>
      <c r="P20" s="1" t="s">
        <v>11</v>
      </c>
      <c r="Q20" s="37">
        <f>SUM(Q15:Q19)</f>
        <v>3.5247933884297522</v>
      </c>
      <c r="R20" s="37">
        <f>SUM(R15:R19)</f>
        <v>2459.5041322314037</v>
      </c>
    </row>
    <row r="21" spans="3:18" x14ac:dyDescent="0.35">
      <c r="C21" s="1" t="s">
        <v>79</v>
      </c>
      <c r="D21" s="2">
        <v>0</v>
      </c>
      <c r="E21" s="2">
        <v>1</v>
      </c>
      <c r="F21" s="2">
        <v>1</v>
      </c>
      <c r="G21" s="2">
        <v>1</v>
      </c>
      <c r="H21" s="2">
        <v>0</v>
      </c>
    </row>
    <row r="22" spans="3:18" x14ac:dyDescent="0.35">
      <c r="C22" s="1" t="s">
        <v>93</v>
      </c>
      <c r="D22" s="25">
        <f>G7*D21</f>
        <v>0</v>
      </c>
      <c r="E22" s="25">
        <f>G8*E21</f>
        <v>0.52479338842975598</v>
      </c>
      <c r="F22" s="25">
        <f>G10*F21</f>
        <v>0</v>
      </c>
      <c r="G22" s="25">
        <f>G11*G21</f>
        <v>0.99999999999999978</v>
      </c>
      <c r="H22" s="35">
        <f>SUM(D22:G22)</f>
        <v>1.5247933884297558</v>
      </c>
    </row>
    <row r="25" spans="3:18" x14ac:dyDescent="0.35">
      <c r="C25" s="1" t="s">
        <v>88</v>
      </c>
      <c r="D25" s="18"/>
    </row>
    <row r="27" spans="3:18" x14ac:dyDescent="0.35">
      <c r="C27" s="1" t="s">
        <v>64</v>
      </c>
      <c r="D27" s="7">
        <f>G10+G11</f>
        <v>0.99999999999999978</v>
      </c>
    </row>
  </sheetData>
  <phoneticPr fontId="3"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topLeftCell="A23" workbookViewId="0">
      <selection activeCell="J35" sqref="J35"/>
    </sheetView>
  </sheetViews>
  <sheetFormatPr defaultRowHeight="14.5" x14ac:dyDescent="0.35"/>
  <cols>
    <col min="1" max="1" width="2.36328125" customWidth="1"/>
    <col min="2" max="2" width="6.36328125" bestFit="1" customWidth="1"/>
    <col min="3" max="3" width="41.08984375" bestFit="1" customWidth="1"/>
    <col min="4" max="4" width="12" bestFit="1" customWidth="1"/>
    <col min="5" max="5" width="12.6328125" bestFit="1" customWidth="1"/>
    <col min="6" max="6" width="10.08984375" bestFit="1" customWidth="1"/>
    <col min="7" max="8" width="12" bestFit="1" customWidth="1"/>
  </cols>
  <sheetData>
    <row r="1" spans="1:8" x14ac:dyDescent="0.35">
      <c r="A1" s="8" t="s">
        <v>14</v>
      </c>
    </row>
    <row r="2" spans="1:8" x14ac:dyDescent="0.35">
      <c r="A2" s="8" t="s">
        <v>152</v>
      </c>
    </row>
    <row r="3" spans="1:8" x14ac:dyDescent="0.35">
      <c r="A3" s="8" t="s">
        <v>153</v>
      </c>
    </row>
    <row r="6" spans="1:8" ht="15" thickBot="1" x14ac:dyDescent="0.4">
      <c r="A6" t="s">
        <v>15</v>
      </c>
    </row>
    <row r="7" spans="1:8" x14ac:dyDescent="0.35">
      <c r="B7" s="41"/>
      <c r="C7" s="41"/>
      <c r="D7" s="41" t="s">
        <v>18</v>
      </c>
      <c r="E7" s="41" t="s">
        <v>20</v>
      </c>
      <c r="F7" s="41" t="s">
        <v>29</v>
      </c>
      <c r="G7" s="41" t="s">
        <v>31</v>
      </c>
      <c r="H7" s="41" t="s">
        <v>31</v>
      </c>
    </row>
    <row r="8" spans="1:8" ht="15" thickBot="1" x14ac:dyDescent="0.4">
      <c r="B8" s="42" t="s">
        <v>16</v>
      </c>
      <c r="C8" s="42" t="s">
        <v>17</v>
      </c>
      <c r="D8" s="42" t="s">
        <v>19</v>
      </c>
      <c r="E8" s="42" t="s">
        <v>8</v>
      </c>
      <c r="F8" s="42" t="s">
        <v>30</v>
      </c>
      <c r="G8" s="42" t="s">
        <v>32</v>
      </c>
      <c r="H8" s="42" t="s">
        <v>33</v>
      </c>
    </row>
    <row r="9" spans="1:8" x14ac:dyDescent="0.35">
      <c r="B9" s="9" t="s">
        <v>41</v>
      </c>
      <c r="C9" s="9" t="s">
        <v>42</v>
      </c>
      <c r="D9" s="9">
        <v>1</v>
      </c>
      <c r="E9" s="20">
        <v>-800</v>
      </c>
      <c r="F9" s="9">
        <v>600</v>
      </c>
      <c r="G9" s="9">
        <v>800</v>
      </c>
      <c r="H9" s="9">
        <v>1E+30</v>
      </c>
    </row>
    <row r="10" spans="1:8" x14ac:dyDescent="0.35">
      <c r="B10" s="9" t="s">
        <v>22</v>
      </c>
      <c r="C10" s="9" t="s">
        <v>82</v>
      </c>
      <c r="D10" s="9">
        <v>0.52479338842975221</v>
      </c>
      <c r="E10" s="20">
        <v>0</v>
      </c>
      <c r="F10" s="9">
        <v>600</v>
      </c>
      <c r="G10" s="9">
        <v>92200.000000000015</v>
      </c>
      <c r="H10" s="9">
        <v>800</v>
      </c>
    </row>
    <row r="11" spans="1:8" x14ac:dyDescent="0.35">
      <c r="B11" s="9" t="s">
        <v>55</v>
      </c>
      <c r="C11" s="9" t="s">
        <v>108</v>
      </c>
      <c r="D11" s="9">
        <v>1</v>
      </c>
      <c r="E11" s="20">
        <v>-1540.4958677685961</v>
      </c>
      <c r="F11" s="9">
        <v>500</v>
      </c>
      <c r="G11" s="9">
        <v>1540.4958677685961</v>
      </c>
      <c r="H11" s="9">
        <v>1E+30</v>
      </c>
    </row>
    <row r="12" spans="1:8" x14ac:dyDescent="0.35">
      <c r="B12" s="9" t="s">
        <v>83</v>
      </c>
      <c r="C12" s="9" t="s">
        <v>65</v>
      </c>
      <c r="D12" s="9">
        <v>0</v>
      </c>
      <c r="E12" s="20">
        <v>0</v>
      </c>
      <c r="F12" s="9">
        <v>200</v>
      </c>
      <c r="G12" s="9">
        <v>1E+30</v>
      </c>
      <c r="H12" s="9">
        <v>3271.4876033057867</v>
      </c>
    </row>
    <row r="13" spans="1:8" x14ac:dyDescent="0.35">
      <c r="B13" s="9" t="s">
        <v>109</v>
      </c>
      <c r="C13" s="9" t="s">
        <v>66</v>
      </c>
      <c r="D13" s="9">
        <v>1</v>
      </c>
      <c r="E13" s="20">
        <v>0</v>
      </c>
      <c r="F13" s="9">
        <v>200</v>
      </c>
      <c r="G13" s="9">
        <v>3271.4876033057867</v>
      </c>
      <c r="H13" s="9">
        <v>1E+30</v>
      </c>
    </row>
    <row r="14" spans="1:8" x14ac:dyDescent="0.35">
      <c r="B14" s="9" t="s">
        <v>37</v>
      </c>
      <c r="C14" s="9" t="s">
        <v>24</v>
      </c>
      <c r="D14" s="9">
        <v>2459.504132231405</v>
      </c>
      <c r="E14" s="9">
        <v>0</v>
      </c>
      <c r="F14" s="9">
        <v>-60</v>
      </c>
      <c r="G14" s="9">
        <v>38.416666666666671</v>
      </c>
      <c r="H14" s="9">
        <v>1E+30</v>
      </c>
    </row>
    <row r="15" spans="1:8" x14ac:dyDescent="0.35">
      <c r="B15" s="9" t="s">
        <v>38</v>
      </c>
      <c r="C15" s="9" t="s">
        <v>25</v>
      </c>
      <c r="D15" s="9">
        <v>20.000000000000046</v>
      </c>
      <c r="E15" s="9">
        <v>0</v>
      </c>
      <c r="F15" s="9">
        <v>100</v>
      </c>
      <c r="G15" s="9">
        <v>39.999999999999943</v>
      </c>
      <c r="H15" s="9">
        <v>158.09917355371903</v>
      </c>
    </row>
    <row r="16" spans="1:8" x14ac:dyDescent="0.35">
      <c r="B16" s="9" t="s">
        <v>39</v>
      </c>
      <c r="C16" s="9" t="s">
        <v>84</v>
      </c>
      <c r="D16" s="9">
        <v>10.495867768595044</v>
      </c>
      <c r="E16" s="9">
        <v>0</v>
      </c>
      <c r="F16" s="9">
        <v>140</v>
      </c>
      <c r="G16" s="9">
        <v>4610</v>
      </c>
      <c r="H16" s="9">
        <v>40</v>
      </c>
    </row>
    <row r="17" spans="1:8" x14ac:dyDescent="0.35">
      <c r="B17" s="9" t="s">
        <v>27</v>
      </c>
      <c r="C17" s="9" t="s">
        <v>110</v>
      </c>
      <c r="D17" s="9">
        <v>15</v>
      </c>
      <c r="E17" s="9">
        <v>0</v>
      </c>
      <c r="F17" s="9">
        <v>110</v>
      </c>
      <c r="G17" s="9">
        <v>102.6997245179064</v>
      </c>
      <c r="H17" s="9">
        <v>168.099173553719</v>
      </c>
    </row>
    <row r="18" spans="1:8" x14ac:dyDescent="0.35">
      <c r="B18" s="9" t="s">
        <v>58</v>
      </c>
      <c r="C18" s="9" t="s">
        <v>67</v>
      </c>
      <c r="D18" s="9">
        <v>0</v>
      </c>
      <c r="E18" s="9">
        <v>0</v>
      </c>
      <c r="F18" s="9">
        <v>250</v>
      </c>
      <c r="G18" s="9">
        <v>1E+30</v>
      </c>
      <c r="H18" s="9">
        <v>310.00413223140498</v>
      </c>
    </row>
    <row r="19" spans="1:8" x14ac:dyDescent="0.35">
      <c r="B19" s="9" t="s">
        <v>111</v>
      </c>
      <c r="C19" s="9" t="s">
        <v>68</v>
      </c>
      <c r="D19" s="9">
        <v>5</v>
      </c>
      <c r="E19" s="9">
        <v>0</v>
      </c>
      <c r="F19" s="9">
        <v>20</v>
      </c>
      <c r="G19" s="9">
        <v>38.099173553719012</v>
      </c>
      <c r="H19" s="9">
        <v>1E+30</v>
      </c>
    </row>
    <row r="20" spans="1:8" x14ac:dyDescent="0.35">
      <c r="B20" s="9" t="s">
        <v>112</v>
      </c>
      <c r="C20" s="9" t="s">
        <v>103</v>
      </c>
      <c r="D20" s="9">
        <v>1</v>
      </c>
      <c r="E20" s="9">
        <v>4561.9834710743771</v>
      </c>
      <c r="F20" s="9">
        <v>0</v>
      </c>
      <c r="G20" s="9">
        <v>1E+30</v>
      </c>
      <c r="H20" s="9">
        <v>4561.9834710743771</v>
      </c>
    </row>
    <row r="21" spans="1:8" x14ac:dyDescent="0.35">
      <c r="B21" s="9" t="s">
        <v>113</v>
      </c>
      <c r="C21" s="9" t="s">
        <v>114</v>
      </c>
      <c r="D21" s="9">
        <v>1</v>
      </c>
      <c r="E21" s="9">
        <v>4561.9834710743771</v>
      </c>
      <c r="F21" s="9">
        <v>0</v>
      </c>
      <c r="G21" s="9">
        <v>1E+30</v>
      </c>
      <c r="H21" s="9">
        <v>4561.9834710743771</v>
      </c>
    </row>
    <row r="22" spans="1:8" x14ac:dyDescent="0.35">
      <c r="B22" s="9" t="s">
        <v>115</v>
      </c>
      <c r="C22" s="9" t="s">
        <v>103</v>
      </c>
      <c r="D22" s="9">
        <v>1</v>
      </c>
      <c r="E22" s="9">
        <v>2280.9917355371922</v>
      </c>
      <c r="F22" s="9">
        <v>0</v>
      </c>
      <c r="G22" s="9">
        <v>1E+30</v>
      </c>
      <c r="H22" s="9">
        <v>2280.9917355371922</v>
      </c>
    </row>
    <row r="23" spans="1:8" ht="15" thickBot="1" x14ac:dyDescent="0.4">
      <c r="B23" s="10" t="s">
        <v>116</v>
      </c>
      <c r="C23" s="10" t="s">
        <v>103</v>
      </c>
      <c r="D23" s="10">
        <v>0.52479338842975209</v>
      </c>
      <c r="E23" s="10">
        <v>0</v>
      </c>
      <c r="F23" s="10">
        <v>0</v>
      </c>
      <c r="G23" s="10">
        <v>4524.5901639344302</v>
      </c>
      <c r="H23" s="10">
        <v>4599.9999999999973</v>
      </c>
    </row>
    <row r="25" spans="1:8" ht="15" thickBot="1" x14ac:dyDescent="0.4">
      <c r="A25" t="s">
        <v>21</v>
      </c>
    </row>
    <row r="26" spans="1:8" x14ac:dyDescent="0.35">
      <c r="B26" s="41"/>
      <c r="C26" s="41"/>
      <c r="D26" s="41" t="s">
        <v>18</v>
      </c>
      <c r="E26" s="41" t="s">
        <v>34</v>
      </c>
      <c r="F26" s="41" t="s">
        <v>35</v>
      </c>
      <c r="G26" s="41" t="s">
        <v>31</v>
      </c>
      <c r="H26" s="41" t="s">
        <v>31</v>
      </c>
    </row>
    <row r="27" spans="1:8" ht="15" thickBot="1" x14ac:dyDescent="0.4">
      <c r="B27" s="42" t="s">
        <v>16</v>
      </c>
      <c r="C27" s="42" t="s">
        <v>17</v>
      </c>
      <c r="D27" s="42" t="s">
        <v>19</v>
      </c>
      <c r="E27" s="42" t="s">
        <v>5</v>
      </c>
      <c r="F27" s="42" t="s">
        <v>36</v>
      </c>
      <c r="G27" s="42" t="s">
        <v>32</v>
      </c>
      <c r="H27" s="42" t="s">
        <v>33</v>
      </c>
    </row>
    <row r="28" spans="1:8" x14ac:dyDescent="0.35">
      <c r="B28" s="9" t="s">
        <v>37</v>
      </c>
      <c r="C28" s="9" t="s">
        <v>24</v>
      </c>
      <c r="D28" s="9">
        <v>2459.504132231405</v>
      </c>
      <c r="E28" s="9">
        <v>0</v>
      </c>
      <c r="F28" s="9">
        <v>0</v>
      </c>
      <c r="G28" s="9">
        <v>1E+30</v>
      </c>
      <c r="H28" s="9">
        <v>540.49586776859496</v>
      </c>
    </row>
    <row r="29" spans="1:8" x14ac:dyDescent="0.35">
      <c r="B29" s="9" t="s">
        <v>38</v>
      </c>
      <c r="C29" s="9" t="s">
        <v>25</v>
      </c>
      <c r="D29" s="9">
        <v>20.000000000000046</v>
      </c>
      <c r="E29" s="9">
        <v>0</v>
      </c>
      <c r="F29" s="9">
        <v>0</v>
      </c>
      <c r="G29" s="9">
        <v>1E+30</v>
      </c>
      <c r="H29" s="9">
        <v>280</v>
      </c>
    </row>
    <row r="30" spans="1:8" x14ac:dyDescent="0.35">
      <c r="B30" s="9" t="s">
        <v>39</v>
      </c>
      <c r="C30" s="9" t="s">
        <v>84</v>
      </c>
      <c r="D30" s="9">
        <v>10.495867768595044</v>
      </c>
      <c r="E30" s="9">
        <v>0</v>
      </c>
      <c r="F30" s="9">
        <v>0</v>
      </c>
      <c r="G30" s="9">
        <v>1E+30</v>
      </c>
      <c r="H30" s="9">
        <v>94.462809917355401</v>
      </c>
    </row>
    <row r="31" spans="1:8" x14ac:dyDescent="0.35">
      <c r="B31" s="9" t="s">
        <v>27</v>
      </c>
      <c r="C31" s="9" t="s">
        <v>110</v>
      </c>
      <c r="D31" s="9">
        <v>15</v>
      </c>
      <c r="E31" s="9">
        <v>0</v>
      </c>
      <c r="F31" s="9">
        <v>0</v>
      </c>
      <c r="G31" s="9">
        <v>1E+30</v>
      </c>
      <c r="H31" s="9">
        <v>85</v>
      </c>
    </row>
    <row r="32" spans="1:8" x14ac:dyDescent="0.35">
      <c r="B32" s="9" t="s">
        <v>58</v>
      </c>
      <c r="C32" s="9" t="s">
        <v>67</v>
      </c>
      <c r="D32" s="9">
        <v>0</v>
      </c>
      <c r="E32" s="9">
        <v>-36.349862258953188</v>
      </c>
      <c r="F32" s="9">
        <v>0</v>
      </c>
      <c r="G32" s="9">
        <v>0</v>
      </c>
      <c r="H32" s="9">
        <v>90</v>
      </c>
    </row>
    <row r="33" spans="2:8" x14ac:dyDescent="0.35">
      <c r="B33" s="9" t="s">
        <v>111</v>
      </c>
      <c r="C33" s="9" t="s">
        <v>68</v>
      </c>
      <c r="D33" s="9">
        <v>5</v>
      </c>
      <c r="E33" s="9">
        <v>-38.099173553719012</v>
      </c>
      <c r="F33" s="9">
        <v>0</v>
      </c>
      <c r="G33" s="9">
        <v>545</v>
      </c>
      <c r="H33" s="9">
        <v>0</v>
      </c>
    </row>
    <row r="34" spans="2:8" x14ac:dyDescent="0.35">
      <c r="B34" s="9" t="s">
        <v>118</v>
      </c>
      <c r="C34" s="9" t="s">
        <v>61</v>
      </c>
      <c r="D34" s="9">
        <v>2500</v>
      </c>
      <c r="E34" s="20">
        <v>-58.099173553719012</v>
      </c>
      <c r="F34" s="9">
        <v>2500</v>
      </c>
      <c r="G34" s="9">
        <v>545</v>
      </c>
      <c r="H34" s="9">
        <v>1270</v>
      </c>
    </row>
    <row r="35" spans="2:8" x14ac:dyDescent="0.35">
      <c r="B35" s="9" t="s">
        <v>37</v>
      </c>
      <c r="C35" s="9" t="s">
        <v>24</v>
      </c>
      <c r="D35" s="9">
        <v>2459.504132231405</v>
      </c>
      <c r="E35" s="9">
        <v>0</v>
      </c>
      <c r="F35" s="9">
        <v>0</v>
      </c>
      <c r="G35" s="9">
        <v>2459.504132231405</v>
      </c>
      <c r="H35" s="9">
        <v>1E+30</v>
      </c>
    </row>
    <row r="36" spans="2:8" x14ac:dyDescent="0.35">
      <c r="B36" s="9" t="s">
        <v>38</v>
      </c>
      <c r="C36" s="9" t="s">
        <v>25</v>
      </c>
      <c r="D36" s="9">
        <v>20.000000000000046</v>
      </c>
      <c r="E36" s="9">
        <v>158.09917355371903</v>
      </c>
      <c r="F36" s="9">
        <v>0</v>
      </c>
      <c r="G36" s="9">
        <v>280</v>
      </c>
      <c r="H36" s="9">
        <v>20.000000000000046</v>
      </c>
    </row>
    <row r="37" spans="2:8" x14ac:dyDescent="0.35">
      <c r="B37" s="9" t="s">
        <v>39</v>
      </c>
      <c r="C37" s="9" t="s">
        <v>84</v>
      </c>
      <c r="D37" s="9">
        <v>10.495867768595044</v>
      </c>
      <c r="E37" s="9">
        <v>198.099173553719</v>
      </c>
      <c r="F37" s="9">
        <v>0</v>
      </c>
      <c r="G37" s="9">
        <v>87.923076923076948</v>
      </c>
      <c r="H37" s="9">
        <v>10.583333333333336</v>
      </c>
    </row>
    <row r="38" spans="2:8" x14ac:dyDescent="0.35">
      <c r="B38" s="9" t="s">
        <v>27</v>
      </c>
      <c r="C38" s="9" t="s">
        <v>110</v>
      </c>
      <c r="D38" s="9">
        <v>15</v>
      </c>
      <c r="E38" s="9">
        <v>168.099173553719</v>
      </c>
      <c r="F38" s="9">
        <v>0</v>
      </c>
      <c r="G38" s="9">
        <v>85</v>
      </c>
      <c r="H38" s="9">
        <v>15</v>
      </c>
    </row>
    <row r="39" spans="2:8" x14ac:dyDescent="0.35">
      <c r="B39" s="9" t="s">
        <v>58</v>
      </c>
      <c r="C39" s="9" t="s">
        <v>67</v>
      </c>
      <c r="D39" s="9">
        <v>0</v>
      </c>
      <c r="E39" s="9">
        <v>344.44903581267221</v>
      </c>
      <c r="F39" s="9">
        <v>0</v>
      </c>
      <c r="G39" s="9">
        <v>90</v>
      </c>
      <c r="H39" s="9">
        <v>0</v>
      </c>
    </row>
    <row r="40" spans="2:8" x14ac:dyDescent="0.35">
      <c r="B40" s="9" t="s">
        <v>111</v>
      </c>
      <c r="C40" s="9" t="s">
        <v>68</v>
      </c>
      <c r="D40" s="9">
        <v>5</v>
      </c>
      <c r="E40" s="9">
        <v>0</v>
      </c>
      <c r="F40" s="9">
        <v>0</v>
      </c>
      <c r="G40" s="9">
        <v>0</v>
      </c>
      <c r="H40" s="9">
        <v>1E+30</v>
      </c>
    </row>
    <row r="41" spans="2:8" x14ac:dyDescent="0.35">
      <c r="B41" s="9" t="s">
        <v>117</v>
      </c>
      <c r="C41" s="9" t="s">
        <v>85</v>
      </c>
      <c r="D41" s="9">
        <v>1</v>
      </c>
      <c r="E41" s="20">
        <v>-4552.4793388429734</v>
      </c>
      <c r="F41" s="9">
        <v>1</v>
      </c>
      <c r="G41" s="9">
        <v>0</v>
      </c>
      <c r="H41" s="9">
        <v>0.48016701461377853</v>
      </c>
    </row>
    <row r="42" spans="2:8" x14ac:dyDescent="0.35">
      <c r="B42" s="9" t="s">
        <v>119</v>
      </c>
      <c r="C42" s="9" t="s">
        <v>95</v>
      </c>
      <c r="D42" s="9">
        <v>1.5247933884297522</v>
      </c>
      <c r="E42" s="20">
        <v>0</v>
      </c>
      <c r="F42" s="9">
        <v>0</v>
      </c>
      <c r="G42" s="9">
        <v>1.5247933884297522</v>
      </c>
      <c r="H42" s="9">
        <v>1E+30</v>
      </c>
    </row>
    <row r="43" spans="2:8" x14ac:dyDescent="0.35">
      <c r="B43" s="9" t="s">
        <v>120</v>
      </c>
      <c r="C43" s="9" t="s">
        <v>12</v>
      </c>
      <c r="D43" s="9">
        <v>2459.504132231405</v>
      </c>
      <c r="E43" s="20">
        <v>-1.9008264462809905</v>
      </c>
      <c r="F43" s="9">
        <v>0</v>
      </c>
      <c r="G43" s="9">
        <v>1270</v>
      </c>
      <c r="H43" s="9">
        <v>1149.9999999999998</v>
      </c>
    </row>
    <row r="44" spans="2:8" ht="15" thickBot="1" x14ac:dyDescent="0.4">
      <c r="B44" s="10" t="s">
        <v>121</v>
      </c>
      <c r="C44" s="10" t="s">
        <v>122</v>
      </c>
      <c r="D44" s="10">
        <v>3.5247933884297522</v>
      </c>
      <c r="E44" s="24">
        <v>-4561.9834710743771</v>
      </c>
      <c r="F44" s="10">
        <v>0</v>
      </c>
      <c r="G44" s="10">
        <v>0.5291666666666669</v>
      </c>
      <c r="H44" s="10">
        <v>0.47916666666666657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27"/>
  <sheetViews>
    <sheetView workbookViewId="0">
      <selection activeCell="C2" sqref="C2:T27"/>
    </sheetView>
  </sheetViews>
  <sheetFormatPr defaultRowHeight="14.5" x14ac:dyDescent="0.35"/>
  <cols>
    <col min="3" max="3" width="32.36328125" customWidth="1"/>
    <col min="4" max="4" width="14.453125" customWidth="1"/>
    <col min="5" max="5" width="12" customWidth="1"/>
    <col min="6" max="6" width="9.54296875" customWidth="1"/>
    <col min="7" max="7" width="12.08984375" customWidth="1"/>
    <col min="8" max="8" width="27.453125" customWidth="1"/>
    <col min="9" max="9" width="13.36328125" customWidth="1"/>
    <col min="10" max="10" width="11.36328125" customWidth="1"/>
    <col min="11" max="11" width="11.90625" customWidth="1"/>
    <col min="12" max="12" width="10.453125" customWidth="1"/>
    <col min="13" max="13" width="10.08984375" customWidth="1"/>
    <col min="14" max="15" width="11.6328125" customWidth="1"/>
    <col min="16" max="16" width="12.08984375" customWidth="1"/>
    <col min="17" max="17" width="11" customWidth="1"/>
    <col min="18" max="18" width="10.54296875" customWidth="1"/>
    <col min="20" max="20" width="16.54296875" customWidth="1"/>
  </cols>
  <sheetData>
    <row r="1" spans="3:26" x14ac:dyDescent="0.35">
      <c r="G1" t="s">
        <v>89</v>
      </c>
    </row>
    <row r="2" spans="3:26" x14ac:dyDescent="0.35">
      <c r="C2" s="1" t="s">
        <v>0</v>
      </c>
      <c r="D2" s="1" t="s">
        <v>43</v>
      </c>
    </row>
    <row r="3" spans="3:26" x14ac:dyDescent="0.35">
      <c r="C3" s="34">
        <f>'#15 Wind const + non linear'!C3</f>
        <v>2500</v>
      </c>
      <c r="D3" s="48">
        <f>'#16 Sensitivity Report'!E34</f>
        <v>-58.099173553719012</v>
      </c>
      <c r="Z3" s="31" t="s">
        <v>78</v>
      </c>
    </row>
    <row r="4" spans="3:26" x14ac:dyDescent="0.35">
      <c r="Z4" s="30">
        <f>MIN($M$12)</f>
        <v>-140735.95041322315</v>
      </c>
    </row>
    <row r="5" spans="3:26" ht="43.5" x14ac:dyDescent="0.35">
      <c r="C5" s="16"/>
      <c r="D5" s="16" t="s">
        <v>4</v>
      </c>
      <c r="E5" s="16" t="s">
        <v>9</v>
      </c>
      <c r="F5" s="16" t="s">
        <v>5</v>
      </c>
      <c r="G5" s="16" t="s">
        <v>6</v>
      </c>
      <c r="H5" s="16" t="s">
        <v>10</v>
      </c>
      <c r="I5" s="16" t="s">
        <v>13</v>
      </c>
      <c r="J5" s="16" t="s">
        <v>28</v>
      </c>
      <c r="K5" s="16" t="s">
        <v>7</v>
      </c>
      <c r="L5" s="16" t="s">
        <v>59</v>
      </c>
      <c r="M5" s="16" t="s">
        <v>8</v>
      </c>
      <c r="N5" s="16" t="s">
        <v>47</v>
      </c>
      <c r="O5" s="16" t="s">
        <v>97</v>
      </c>
      <c r="P5" s="16" t="s">
        <v>98</v>
      </c>
      <c r="Q5" s="16" t="s">
        <v>49</v>
      </c>
      <c r="R5" s="16" t="s">
        <v>46</v>
      </c>
      <c r="S5" s="16" t="s">
        <v>76</v>
      </c>
      <c r="T5" s="32" t="s">
        <v>91</v>
      </c>
      <c r="Z5" s="29">
        <f>COUNT($G$7:$G$11,$K$6:$K$11)</f>
        <v>11</v>
      </c>
    </row>
    <row r="6" spans="3:26" x14ac:dyDescent="0.35">
      <c r="C6" s="1" t="s">
        <v>3</v>
      </c>
      <c r="D6" s="34">
        <f>'#15 Wind const + non linear'!D6</f>
        <v>3000</v>
      </c>
      <c r="E6" s="34">
        <f>'#15 Wind const + non linear'!E6</f>
        <v>0</v>
      </c>
      <c r="F6" s="34">
        <f>'#15 Wind const + non linear'!F6</f>
        <v>-60</v>
      </c>
      <c r="G6" s="34">
        <f>'#15 Wind const + non linear'!G6</f>
        <v>1</v>
      </c>
      <c r="H6" s="34">
        <f>'#15 Wind const + non linear'!H6</f>
        <v>0</v>
      </c>
      <c r="I6" s="25">
        <f>G6*E6</f>
        <v>0</v>
      </c>
      <c r="J6" s="25">
        <f>G6*D6</f>
        <v>3000</v>
      </c>
      <c r="K6" s="13">
        <v>2459.504132231405</v>
      </c>
      <c r="L6" s="5">
        <f>K6</f>
        <v>2459.504132231405</v>
      </c>
      <c r="M6" s="5">
        <f>F6*K6+G6*H6</f>
        <v>-147570.2479338843</v>
      </c>
      <c r="N6" s="5">
        <f>K6*$D$3</f>
        <v>-142895.15743460148</v>
      </c>
      <c r="O6" s="38">
        <f>'#15 Wind const + non linear'!O6</f>
        <v>0</v>
      </c>
      <c r="P6" s="38">
        <f>'#15 Wind const + non linear'!P6</f>
        <v>0</v>
      </c>
      <c r="Q6" s="5">
        <f>SUM(N6:P6)</f>
        <v>-142895.15743460148</v>
      </c>
      <c r="R6" s="5">
        <f>K6*F6+G6*H6</f>
        <v>-147570.2479338843</v>
      </c>
      <c r="S6" s="7"/>
      <c r="T6" s="18"/>
      <c r="Z6" s="29" t="b">
        <f>$L$12=$C$3</f>
        <v>1</v>
      </c>
    </row>
    <row r="7" spans="3:26" x14ac:dyDescent="0.35">
      <c r="C7" s="1" t="s">
        <v>1</v>
      </c>
      <c r="D7" s="34">
        <f>'#15 Wind const + non linear'!D7</f>
        <v>300</v>
      </c>
      <c r="E7" s="34">
        <f>'#15 Wind const + non linear'!E7</f>
        <v>20</v>
      </c>
      <c r="F7" s="34">
        <f>'#15 Wind const + non linear'!F7</f>
        <v>100</v>
      </c>
      <c r="G7" s="27">
        <v>1</v>
      </c>
      <c r="H7" s="34">
        <f>'#15 Wind const + non linear'!H7</f>
        <v>600</v>
      </c>
      <c r="I7" s="25">
        <f t="shared" ref="I7:I11" si="0">G7*E7</f>
        <v>20</v>
      </c>
      <c r="J7" s="25">
        <f t="shared" ref="J7:J11" si="1">G7*D7</f>
        <v>300</v>
      </c>
      <c r="K7" s="13">
        <v>20.000000000000046</v>
      </c>
      <c r="L7" s="5">
        <f t="shared" ref="L7:L10" si="2">K7</f>
        <v>20.000000000000046</v>
      </c>
      <c r="M7" s="5">
        <f>F7*K7+G7*H7</f>
        <v>2600.0000000000045</v>
      </c>
      <c r="N7" s="5">
        <f t="shared" ref="N7:N10" si="3">K7*$D$3</f>
        <v>-1161.983471074383</v>
      </c>
      <c r="O7" s="5">
        <f>G7*$H$15</f>
        <v>4561.9834710743771</v>
      </c>
      <c r="P7" s="26">
        <f>D23</f>
        <v>0</v>
      </c>
      <c r="Q7" s="5">
        <f t="shared" ref="Q7:Q11" si="4">SUM(N7:P7)</f>
        <v>3399.9999999999941</v>
      </c>
      <c r="R7" s="5">
        <f t="shared" ref="R7:R10" si="5">K7*F7+G7*H7</f>
        <v>2600.0000000000045</v>
      </c>
      <c r="S7" s="5">
        <f>Q7-R7</f>
        <v>799.99999999998954</v>
      </c>
      <c r="T7" s="19">
        <f>-'#16 Sensitivity Report'!E9</f>
        <v>800</v>
      </c>
      <c r="Z7" s="29" t="b">
        <f t="array" ref="Z7">$G$7:$G$11&lt;=1</f>
        <v>1</v>
      </c>
    </row>
    <row r="8" spans="3:26" x14ac:dyDescent="0.35">
      <c r="C8" s="1" t="s">
        <v>80</v>
      </c>
      <c r="D8" s="34">
        <f>'#15 Wind const + non linear'!D8</f>
        <v>200</v>
      </c>
      <c r="E8" s="34">
        <f>'#15 Wind const + non linear'!E8</f>
        <v>20</v>
      </c>
      <c r="F8" s="34">
        <f>'#15 Wind const + non linear'!F8</f>
        <v>140</v>
      </c>
      <c r="G8" s="27">
        <v>0.52479338842975221</v>
      </c>
      <c r="H8" s="34">
        <f>'#15 Wind const + non linear'!H8</f>
        <v>600</v>
      </c>
      <c r="I8" s="25">
        <f t="shared" si="0"/>
        <v>10.495867768595044</v>
      </c>
      <c r="J8" s="25">
        <f t="shared" si="1"/>
        <v>104.95867768595045</v>
      </c>
      <c r="K8" s="13">
        <v>10.495867768595044</v>
      </c>
      <c r="L8" s="5">
        <f t="shared" si="2"/>
        <v>10.495867768595044</v>
      </c>
      <c r="M8" s="5">
        <f>F8*K8+G8*H8</f>
        <v>1784.2975206611575</v>
      </c>
      <c r="N8" s="5">
        <f t="shared" si="3"/>
        <v>-609.80124308448899</v>
      </c>
      <c r="O8" s="5">
        <f t="shared" ref="O8:O11" si="6">G8*$H$15</f>
        <v>2394.0987637456446</v>
      </c>
      <c r="P8" s="26">
        <f>E23</f>
        <v>0</v>
      </c>
      <c r="Q8" s="5">
        <f t="shared" si="4"/>
        <v>1784.2975206611557</v>
      </c>
      <c r="R8" s="5">
        <f t="shared" si="5"/>
        <v>1784.2975206611575</v>
      </c>
      <c r="S8" s="5">
        <f>Q8-R8</f>
        <v>-1.8189894035458565E-12</v>
      </c>
      <c r="T8" s="19">
        <f>-'#16 Sensitivity Report'!E10</f>
        <v>0</v>
      </c>
      <c r="Z8" s="29"/>
    </row>
    <row r="9" spans="3:26" x14ac:dyDescent="0.35">
      <c r="C9" s="1" t="s">
        <v>107</v>
      </c>
      <c r="D9" s="34">
        <f>'#15 Wind const + non linear'!D9</f>
        <v>100</v>
      </c>
      <c r="E9" s="34">
        <f>'#15 Wind const + non linear'!E9</f>
        <v>15</v>
      </c>
      <c r="F9" s="34">
        <f>'#15 Wind const + non linear'!F9</f>
        <v>110</v>
      </c>
      <c r="G9" s="27">
        <v>1</v>
      </c>
      <c r="H9" s="34">
        <f>'#15 Wind const + non linear'!H9</f>
        <v>500</v>
      </c>
      <c r="I9" s="25">
        <f t="shared" si="0"/>
        <v>15</v>
      </c>
      <c r="J9" s="25">
        <f t="shared" si="1"/>
        <v>100</v>
      </c>
      <c r="K9" s="13">
        <v>15</v>
      </c>
      <c r="L9" s="5">
        <f t="shared" si="2"/>
        <v>15</v>
      </c>
      <c r="M9" s="5">
        <f>F9*K9+G9*H9</f>
        <v>2150</v>
      </c>
      <c r="N9" s="5">
        <f t="shared" si="3"/>
        <v>-871.48760330578523</v>
      </c>
      <c r="O9" s="5">
        <f t="shared" si="6"/>
        <v>4561.9834710743771</v>
      </c>
      <c r="P9" s="26">
        <f>E24</f>
        <v>0</v>
      </c>
      <c r="Q9" s="5">
        <f t="shared" si="4"/>
        <v>3690.4958677685918</v>
      </c>
      <c r="R9" s="5">
        <f t="shared" si="5"/>
        <v>2150</v>
      </c>
      <c r="S9" s="5">
        <f>Q9-R9</f>
        <v>1540.4958677685918</v>
      </c>
      <c r="T9" s="19">
        <f>-'#16 Sensitivity Report'!E11</f>
        <v>1540.4958677685961</v>
      </c>
      <c r="Z9" s="29"/>
    </row>
    <row r="10" spans="3:26" x14ac:dyDescent="0.35">
      <c r="C10" s="1" t="s">
        <v>62</v>
      </c>
      <c r="D10" s="34">
        <f>'#15 Wind const + non linear'!D10</f>
        <v>100</v>
      </c>
      <c r="E10" s="34">
        <f>'#15 Wind const + non linear'!E10</f>
        <v>10</v>
      </c>
      <c r="F10" s="34">
        <f>'#15 Wind const + non linear'!F10</f>
        <v>250</v>
      </c>
      <c r="G10" s="27">
        <v>0</v>
      </c>
      <c r="H10" s="34">
        <f>'#15 Wind const + non linear'!H10</f>
        <v>200</v>
      </c>
      <c r="I10" s="25">
        <f t="shared" si="0"/>
        <v>0</v>
      </c>
      <c r="J10" s="25">
        <f t="shared" si="1"/>
        <v>0</v>
      </c>
      <c r="K10" s="13">
        <v>0</v>
      </c>
      <c r="L10" s="5">
        <f t="shared" si="2"/>
        <v>0</v>
      </c>
      <c r="M10" s="5">
        <f>F10*K10+G10*H10</f>
        <v>0</v>
      </c>
      <c r="N10" s="5">
        <f t="shared" si="3"/>
        <v>0</v>
      </c>
      <c r="O10" s="5">
        <f t="shared" si="6"/>
        <v>0</v>
      </c>
      <c r="P10" s="26">
        <f>F23</f>
        <v>0</v>
      </c>
      <c r="Q10" s="5">
        <f t="shared" si="4"/>
        <v>0</v>
      </c>
      <c r="R10" s="5">
        <f t="shared" si="5"/>
        <v>0</v>
      </c>
      <c r="S10" s="5">
        <f>Q10-R10</f>
        <v>0</v>
      </c>
      <c r="T10" s="19">
        <f>-'#16 Sensitivity Report'!E12</f>
        <v>0</v>
      </c>
      <c r="Z10" s="29" t="b">
        <f>$D$27&lt;=1</f>
        <v>1</v>
      </c>
    </row>
    <row r="11" spans="3:26" x14ac:dyDescent="0.35">
      <c r="C11" s="1" t="s">
        <v>63</v>
      </c>
      <c r="D11" s="34">
        <f>'#15 Wind const + non linear'!D11</f>
        <v>5</v>
      </c>
      <c r="E11" s="34">
        <f>'#15 Wind const + non linear'!E11</f>
        <v>5</v>
      </c>
      <c r="F11" s="34">
        <f>'#15 Wind const + non linear'!F11</f>
        <v>-20</v>
      </c>
      <c r="G11" s="27">
        <v>1</v>
      </c>
      <c r="H11" s="34">
        <f>'#15 Wind const + non linear'!H11</f>
        <v>200</v>
      </c>
      <c r="I11" s="25">
        <f t="shared" si="0"/>
        <v>5</v>
      </c>
      <c r="J11" s="25">
        <f t="shared" si="1"/>
        <v>5</v>
      </c>
      <c r="K11" s="13">
        <v>5</v>
      </c>
      <c r="L11" s="5">
        <f>-K11</f>
        <v>-5</v>
      </c>
      <c r="M11" s="5">
        <f>-F11*K11+G11*H11</f>
        <v>300</v>
      </c>
      <c r="N11" s="5">
        <f>-K11*$D$3</f>
        <v>290.49586776859508</v>
      </c>
      <c r="O11" s="5">
        <f t="shared" si="6"/>
        <v>4561.9834710743771</v>
      </c>
      <c r="P11" s="26">
        <f>G23</f>
        <v>0</v>
      </c>
      <c r="Q11" s="5">
        <f t="shared" si="4"/>
        <v>4852.4793388429725</v>
      </c>
      <c r="R11" s="5">
        <f>-K11*F11+G11*H11</f>
        <v>300</v>
      </c>
      <c r="S11" s="5">
        <f>Q11-R11</f>
        <v>4552.4793388429725</v>
      </c>
      <c r="T11" s="21">
        <f>-'#16 Sensitivity Report'!E13-'#16 Sensitivity Report'!E41</f>
        <v>4552.4793388429734</v>
      </c>
      <c r="Z11" s="29" t="b">
        <f t="array" ref="Z11">$K$6:$K$11&gt;=$I$6:$I$11</f>
        <v>1</v>
      </c>
    </row>
    <row r="12" spans="3:26" x14ac:dyDescent="0.35">
      <c r="C12" s="1"/>
      <c r="D12" s="1"/>
      <c r="E12" s="1"/>
      <c r="F12" s="1" t="s">
        <v>44</v>
      </c>
      <c r="G12" s="39">
        <f>SUM(G7:G11)</f>
        <v>3.5247933884297522</v>
      </c>
      <c r="H12" s="1"/>
      <c r="I12" s="1"/>
      <c r="J12" s="1" t="s">
        <v>11</v>
      </c>
      <c r="K12" s="1"/>
      <c r="L12" s="14">
        <f>SUM(L6:L11)</f>
        <v>2500</v>
      </c>
      <c r="M12" s="6">
        <f>SUM(M6:M11)</f>
        <v>-140735.95041322315</v>
      </c>
      <c r="Z12" s="29" t="b">
        <f>$K$6&lt;=$F$21</f>
        <v>0</v>
      </c>
    </row>
    <row r="13" spans="3:26" x14ac:dyDescent="0.35">
      <c r="Z13" s="29" t="b">
        <f t="array" ref="Z13">$G$7:$G$11&gt;=0</f>
        <v>1</v>
      </c>
    </row>
    <row r="14" spans="3:26" ht="116" x14ac:dyDescent="0.35">
      <c r="C14" s="1" t="s">
        <v>12</v>
      </c>
      <c r="D14" s="16"/>
      <c r="E14" s="16"/>
      <c r="F14" s="16" t="s">
        <v>19</v>
      </c>
      <c r="G14" s="16" t="s">
        <v>5</v>
      </c>
      <c r="H14" s="16" t="s">
        <v>154</v>
      </c>
      <c r="K14" s="16" t="s">
        <v>99</v>
      </c>
      <c r="L14" s="16" t="s">
        <v>100</v>
      </c>
      <c r="M14" s="16" t="s">
        <v>101</v>
      </c>
      <c r="N14" s="16" t="s">
        <v>102</v>
      </c>
      <c r="O14" s="16" t="s">
        <v>104</v>
      </c>
      <c r="P14" s="16" t="s">
        <v>105</v>
      </c>
      <c r="Q14" s="16" t="s">
        <v>103</v>
      </c>
      <c r="R14" s="16" t="s">
        <v>106</v>
      </c>
      <c r="Z14" s="29" t="b">
        <f t="array" ref="Z14">$K$6:$K$11&lt;=$J$6:$J$11</f>
        <v>1</v>
      </c>
    </row>
    <row r="15" spans="3:26" x14ac:dyDescent="0.35">
      <c r="C15" s="14">
        <f>K6</f>
        <v>2459.504132231405</v>
      </c>
      <c r="D15" s="2"/>
      <c r="E15" s="2"/>
      <c r="F15" s="46">
        <f>R20</f>
        <v>2459.504132231405</v>
      </c>
      <c r="G15" s="47">
        <f>'#16 Sensitivity Report'!E43</f>
        <v>-1.9008264462809905</v>
      </c>
      <c r="H15" s="47">
        <f>-'#16 Sensitivity Report'!E44</f>
        <v>4561.9834710743771</v>
      </c>
      <c r="K15" s="1">
        <v>0</v>
      </c>
      <c r="L15" s="34">
        <f>'#15 Wind const + non linear'!L15</f>
        <v>0</v>
      </c>
      <c r="M15" s="1"/>
      <c r="N15" s="1"/>
      <c r="O15" s="1"/>
      <c r="P15" s="1"/>
      <c r="Q15" s="1"/>
      <c r="R15" s="1"/>
      <c r="Z15" s="29">
        <f>{32767,32767,0.000001,0.01,TRUE,FALSE,FALSE,1,2,1,0.0001,TRUE}</f>
        <v>32767</v>
      </c>
    </row>
    <row r="16" spans="3:26" x14ac:dyDescent="0.35">
      <c r="H16" s="49">
        <f>-M19*G15</f>
        <v>4561.9834710743771</v>
      </c>
      <c r="K16" s="1">
        <v>1</v>
      </c>
      <c r="L16" s="34">
        <f>'#15 Wind const + non linear'!L16</f>
        <v>0</v>
      </c>
      <c r="M16" s="5">
        <v>0</v>
      </c>
      <c r="N16" s="34">
        <f>'#15 Wind const + non linear'!N16</f>
        <v>1</v>
      </c>
      <c r="O16" s="7">
        <f t="shared" ref="O16:O18" si="7">N17</f>
        <v>1</v>
      </c>
      <c r="P16" s="7">
        <f t="shared" ref="P16:P19" si="8">N16</f>
        <v>1</v>
      </c>
      <c r="Q16" s="4">
        <v>1</v>
      </c>
      <c r="R16" s="37">
        <f t="shared" ref="R16:R19" si="9">Q16*M16</f>
        <v>0</v>
      </c>
      <c r="Z16" s="29">
        <f>{0,0,2,100,0,FALSE,FALSE,0.075,0,0,FALSE,30}</f>
        <v>0</v>
      </c>
    </row>
    <row r="17" spans="3:18" x14ac:dyDescent="0.35">
      <c r="C17" s="1" t="s">
        <v>64</v>
      </c>
      <c r="D17" s="36">
        <f>G10+G11</f>
        <v>1</v>
      </c>
      <c r="K17" s="1">
        <v>2</v>
      </c>
      <c r="L17" s="34">
        <f>'#15 Wind const + non linear'!L17</f>
        <v>0</v>
      </c>
      <c r="M17" s="7">
        <v>0</v>
      </c>
      <c r="N17" s="34">
        <f>'#15 Wind const + non linear'!N17</f>
        <v>1</v>
      </c>
      <c r="O17" s="7">
        <f t="shared" si="7"/>
        <v>1</v>
      </c>
      <c r="P17" s="7">
        <f t="shared" si="8"/>
        <v>1</v>
      </c>
      <c r="Q17" s="4">
        <v>1</v>
      </c>
      <c r="R17" s="37">
        <f t="shared" si="9"/>
        <v>0</v>
      </c>
    </row>
    <row r="18" spans="3:18" x14ac:dyDescent="0.35">
      <c r="K18" s="1">
        <v>3</v>
      </c>
      <c r="L18" s="34">
        <f>'#15 Wind const + non linear'!L18</f>
        <v>1200</v>
      </c>
      <c r="M18" s="7">
        <f>(L18-L17)/(K18-K17)</f>
        <v>1200</v>
      </c>
      <c r="N18" s="34">
        <f>'#15 Wind const + non linear'!N18</f>
        <v>1</v>
      </c>
      <c r="O18" s="7">
        <f t="shared" si="7"/>
        <v>1</v>
      </c>
      <c r="P18" s="7">
        <f t="shared" si="8"/>
        <v>1</v>
      </c>
      <c r="Q18" s="4">
        <v>1</v>
      </c>
      <c r="R18" s="37">
        <f t="shared" si="9"/>
        <v>1200</v>
      </c>
    </row>
    <row r="19" spans="3:18" x14ac:dyDescent="0.35">
      <c r="K19" s="1">
        <v>4</v>
      </c>
      <c r="L19" s="34">
        <f>'#15 Wind const + non linear'!L19</f>
        <v>3600</v>
      </c>
      <c r="M19" s="7">
        <f>(L19-L18)/(K19-K18)</f>
        <v>2400</v>
      </c>
      <c r="N19" s="34">
        <f>'#15 Wind const + non linear'!N19</f>
        <v>1</v>
      </c>
      <c r="O19" s="7">
        <v>0</v>
      </c>
      <c r="P19" s="7">
        <f t="shared" si="8"/>
        <v>1</v>
      </c>
      <c r="Q19" s="4">
        <v>0.52479338842975209</v>
      </c>
      <c r="R19" s="37">
        <f t="shared" si="9"/>
        <v>1259.504132231405</v>
      </c>
    </row>
    <row r="20" spans="3:18" ht="29" x14ac:dyDescent="0.35">
      <c r="C20" s="1"/>
      <c r="D20" s="16" t="str">
        <f>C7</f>
        <v>Gen 1</v>
      </c>
      <c r="E20" s="16" t="str">
        <f>C8</f>
        <v>Gen 2</v>
      </c>
      <c r="F20" s="16" t="str">
        <f>C10</f>
        <v>SSG 1 Gen mode</v>
      </c>
      <c r="G20" s="16" t="str">
        <f>C11</f>
        <v>SSG 1 Synch con mode</v>
      </c>
      <c r="H20" s="16" t="s">
        <v>81</v>
      </c>
      <c r="P20" s="1" t="s">
        <v>11</v>
      </c>
      <c r="Q20" s="37">
        <f>SUM(Q15:Q19)</f>
        <v>3.5247933884297522</v>
      </c>
      <c r="R20" s="37">
        <f>SUM(R15:R19)</f>
        <v>2459.504132231405</v>
      </c>
    </row>
    <row r="21" spans="3:18" x14ac:dyDescent="0.35">
      <c r="C21" s="1" t="s">
        <v>79</v>
      </c>
      <c r="D21" s="34">
        <f>'#15 Wind const + non linear'!D21</f>
        <v>0</v>
      </c>
      <c r="E21" s="34">
        <f>'#15 Wind const + non linear'!E21</f>
        <v>1</v>
      </c>
      <c r="F21" s="34">
        <f>'#15 Wind const + non linear'!F21</f>
        <v>1</v>
      </c>
      <c r="G21" s="34">
        <f>'#15 Wind const + non linear'!G21</f>
        <v>1</v>
      </c>
      <c r="H21" s="34">
        <f>'#15 Wind const + non linear'!H21</f>
        <v>0</v>
      </c>
    </row>
    <row r="22" spans="3:18" x14ac:dyDescent="0.35">
      <c r="C22" s="1" t="s">
        <v>93</v>
      </c>
      <c r="D22" s="25">
        <f>G7*D21</f>
        <v>0</v>
      </c>
      <c r="E22" s="25">
        <f>G8*E21</f>
        <v>0.52479338842975221</v>
      </c>
      <c r="F22" s="25">
        <f>G10*F21</f>
        <v>0</v>
      </c>
      <c r="G22" s="25">
        <f>G11*G21</f>
        <v>1</v>
      </c>
      <c r="H22" s="35">
        <f>SUM(D22:G22)</f>
        <v>1.5247933884297522</v>
      </c>
    </row>
    <row r="23" spans="3:18" x14ac:dyDescent="0.35">
      <c r="C23" s="1" t="s">
        <v>87</v>
      </c>
      <c r="D23" s="26">
        <f>D22*$D$25</f>
        <v>0</v>
      </c>
      <c r="E23" s="26">
        <f>E22*$D$25</f>
        <v>0</v>
      </c>
      <c r="F23" s="26">
        <f>F22*$D$25</f>
        <v>0</v>
      </c>
      <c r="G23" s="26">
        <f>G22*$D$25</f>
        <v>0</v>
      </c>
    </row>
    <row r="25" spans="3:18" x14ac:dyDescent="0.35">
      <c r="C25" s="1" t="s">
        <v>88</v>
      </c>
      <c r="D25" s="18">
        <f>'#16 Sensitivity Report'!E42</f>
        <v>0</v>
      </c>
    </row>
    <row r="27" spans="3:18" x14ac:dyDescent="0.35">
      <c r="C27" s="1" t="s">
        <v>64</v>
      </c>
      <c r="D27" s="7">
        <f>G10+G11</f>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Z27"/>
  <sheetViews>
    <sheetView topLeftCell="B1" workbookViewId="0">
      <selection activeCell="C1" sqref="C1"/>
    </sheetView>
  </sheetViews>
  <sheetFormatPr defaultRowHeight="14.5" x14ac:dyDescent="0.35"/>
  <cols>
    <col min="3" max="3" width="32.36328125" customWidth="1"/>
    <col min="4" max="4" width="14.453125" customWidth="1"/>
    <col min="5" max="5" width="12" customWidth="1"/>
    <col min="6" max="6" width="9.54296875" customWidth="1"/>
    <col min="7" max="7" width="12.08984375" customWidth="1"/>
    <col min="8" max="8" width="22.54296875" customWidth="1"/>
    <col min="9" max="9" width="13.36328125" customWidth="1"/>
    <col min="10" max="10" width="11.36328125" customWidth="1"/>
    <col min="11" max="11" width="11.90625" customWidth="1"/>
    <col min="12" max="12" width="10.453125" customWidth="1"/>
    <col min="13" max="13" width="10.08984375" customWidth="1"/>
    <col min="14" max="15" width="11.6328125" customWidth="1"/>
    <col min="16" max="16" width="12.08984375" customWidth="1"/>
    <col min="17" max="17" width="11" customWidth="1"/>
    <col min="18" max="18" width="12.81640625" customWidth="1"/>
    <col min="20" max="20" width="16.54296875" customWidth="1"/>
  </cols>
  <sheetData>
    <row r="1" spans="3:26" x14ac:dyDescent="0.35">
      <c r="G1" t="s">
        <v>89</v>
      </c>
    </row>
    <row r="2" spans="3:26" x14ac:dyDescent="0.35">
      <c r="C2" s="1" t="s">
        <v>0</v>
      </c>
      <c r="D2" s="1" t="s">
        <v>43</v>
      </c>
    </row>
    <row r="3" spans="3:26" x14ac:dyDescent="0.35">
      <c r="C3" s="34">
        <f>'#15 Wind const + non linear'!C3</f>
        <v>2500</v>
      </c>
      <c r="D3" s="7">
        <f>'#16 Pricing NL + SOS fixed'!D3</f>
        <v>-58.099173553719012</v>
      </c>
      <c r="Z3" s="31" t="s">
        <v>78</v>
      </c>
    </row>
    <row r="4" spans="3:26" x14ac:dyDescent="0.35">
      <c r="Z4" s="30">
        <f>MIN($M$12)</f>
        <v>-138550</v>
      </c>
    </row>
    <row r="5" spans="3:26" ht="43.5" x14ac:dyDescent="0.35">
      <c r="C5" s="16"/>
      <c r="D5" s="16" t="s">
        <v>4</v>
      </c>
      <c r="E5" s="16" t="s">
        <v>9</v>
      </c>
      <c r="F5" s="16" t="s">
        <v>5</v>
      </c>
      <c r="G5" s="16" t="s">
        <v>6</v>
      </c>
      <c r="H5" s="16" t="s">
        <v>10</v>
      </c>
      <c r="I5" s="16" t="s">
        <v>13</v>
      </c>
      <c r="J5" s="16" t="s">
        <v>28</v>
      </c>
      <c r="K5" s="16" t="s">
        <v>7</v>
      </c>
      <c r="L5" s="16" t="s">
        <v>59</v>
      </c>
      <c r="M5" s="16" t="s">
        <v>8</v>
      </c>
      <c r="N5" s="16" t="s">
        <v>47</v>
      </c>
      <c r="O5" s="16" t="s">
        <v>97</v>
      </c>
      <c r="P5" s="16" t="s">
        <v>98</v>
      </c>
      <c r="Q5" s="16" t="s">
        <v>49</v>
      </c>
      <c r="R5" s="16" t="s">
        <v>46</v>
      </c>
      <c r="S5" s="16" t="s">
        <v>76</v>
      </c>
      <c r="T5" s="32" t="s">
        <v>91</v>
      </c>
      <c r="Z5" s="29">
        <f>COUNT($G$7:$G$11,$K$6:$K$11)</f>
        <v>11</v>
      </c>
    </row>
    <row r="6" spans="3:26" x14ac:dyDescent="0.35">
      <c r="C6" s="1" t="s">
        <v>3</v>
      </c>
      <c r="D6" s="34">
        <f>'#15 Wind const + non linear'!D6</f>
        <v>3000</v>
      </c>
      <c r="E6" s="34">
        <f>'#15 Wind const + non linear'!E6</f>
        <v>0</v>
      </c>
      <c r="F6" s="34">
        <f>'#15 Wind const + non linear'!F6</f>
        <v>-60</v>
      </c>
      <c r="G6" s="34">
        <f>'#15 Wind const + non linear'!G6</f>
        <v>1</v>
      </c>
      <c r="H6" s="34">
        <f>'#15 Wind const + non linear'!H6</f>
        <v>0</v>
      </c>
      <c r="I6" s="25">
        <f>G6*E6</f>
        <v>0</v>
      </c>
      <c r="J6" s="25">
        <f>G6*D6</f>
        <v>3000</v>
      </c>
      <c r="K6" s="13">
        <v>2450</v>
      </c>
      <c r="L6" s="5">
        <f>K6</f>
        <v>2450</v>
      </c>
      <c r="M6" s="5">
        <f>F6*K6+G6*H6</f>
        <v>-147000</v>
      </c>
      <c r="N6" s="5">
        <f>K6*$D$3</f>
        <v>-142342.97520661159</v>
      </c>
      <c r="O6" s="38">
        <f>'#15 Wind const + non linear'!O6</f>
        <v>0</v>
      </c>
      <c r="P6" s="38">
        <f>'#15 Wind const + non linear'!P6</f>
        <v>0</v>
      </c>
      <c r="Q6" s="5">
        <f>SUM(N6:P6)</f>
        <v>-142342.97520661159</v>
      </c>
      <c r="R6" s="5">
        <f>K6*F6+G6*H6</f>
        <v>-147000</v>
      </c>
      <c r="S6" s="7"/>
      <c r="T6" s="38">
        <f>'#16 Pricing NL + SOS fixed'!T6</f>
        <v>0</v>
      </c>
      <c r="Z6" s="29" t="b">
        <f>$L$12=$C$3</f>
        <v>1</v>
      </c>
    </row>
    <row r="7" spans="3:26" x14ac:dyDescent="0.35">
      <c r="C7" s="1" t="s">
        <v>1</v>
      </c>
      <c r="D7" s="34">
        <f>'#15 Wind const + non linear'!D7</f>
        <v>300</v>
      </c>
      <c r="E7" s="34">
        <f>'#15 Wind const + non linear'!E7</f>
        <v>20</v>
      </c>
      <c r="F7" s="34">
        <f>'#15 Wind const + non linear'!F7</f>
        <v>100</v>
      </c>
      <c r="G7" s="27">
        <v>1</v>
      </c>
      <c r="H7" s="34">
        <f>'#15 Wind const + non linear'!H7</f>
        <v>600</v>
      </c>
      <c r="I7" s="25">
        <f t="shared" ref="I7:I11" si="0">G7*E7</f>
        <v>20</v>
      </c>
      <c r="J7" s="25">
        <f t="shared" ref="J7:J11" si="1">G7*D7</f>
        <v>300</v>
      </c>
      <c r="K7" s="13">
        <v>19.999999999999993</v>
      </c>
      <c r="L7" s="5">
        <f t="shared" ref="L7:L10" si="2">K7</f>
        <v>19.999999999999993</v>
      </c>
      <c r="M7" s="5">
        <f>F7*K7+G7*H7</f>
        <v>2599.9999999999991</v>
      </c>
      <c r="N7" s="5">
        <f t="shared" ref="N7:N10" si="3">K7*$D$3</f>
        <v>-1161.9834710743798</v>
      </c>
      <c r="O7" s="5">
        <f>G7*$H$15</f>
        <v>4561.9834710743771</v>
      </c>
      <c r="P7" s="26">
        <f>D23</f>
        <v>0</v>
      </c>
      <c r="Q7" s="5">
        <f t="shared" ref="Q7:Q11" si="4">SUM(N7:P7)</f>
        <v>3399.9999999999973</v>
      </c>
      <c r="R7" s="5">
        <f t="shared" ref="R7:R10" si="5">K7*F7+G7*H7</f>
        <v>2599.9999999999991</v>
      </c>
      <c r="S7" s="5">
        <f>Q7-R7</f>
        <v>799.99999999999818</v>
      </c>
      <c r="T7" s="38">
        <f>'#16 Pricing NL + SOS fixed'!T7</f>
        <v>800</v>
      </c>
      <c r="Z7" s="29" t="b">
        <f t="array" ref="Z7">$G$7:$G$11&lt;=1</f>
        <v>1</v>
      </c>
    </row>
    <row r="8" spans="3:26" x14ac:dyDescent="0.35">
      <c r="C8" s="1" t="s">
        <v>80</v>
      </c>
      <c r="D8" s="34">
        <f>'#15 Wind const + non linear'!D8</f>
        <v>200</v>
      </c>
      <c r="E8" s="34">
        <f>'#15 Wind const + non linear'!E8</f>
        <v>20</v>
      </c>
      <c r="F8" s="34">
        <f>'#15 Wind const + non linear'!F8</f>
        <v>140</v>
      </c>
      <c r="G8" s="27">
        <v>1</v>
      </c>
      <c r="H8" s="34">
        <f>'#15 Wind const + non linear'!H8</f>
        <v>600</v>
      </c>
      <c r="I8" s="25">
        <f t="shared" si="0"/>
        <v>20</v>
      </c>
      <c r="J8" s="25">
        <f t="shared" si="1"/>
        <v>200</v>
      </c>
      <c r="K8" s="13">
        <v>20</v>
      </c>
      <c r="L8" s="5">
        <f t="shared" si="2"/>
        <v>20</v>
      </c>
      <c r="M8" s="5">
        <f>F8*K8+G8*H8</f>
        <v>3400</v>
      </c>
      <c r="N8" s="5">
        <f t="shared" si="3"/>
        <v>-1161.9834710743803</v>
      </c>
      <c r="O8" s="5">
        <f t="shared" ref="O8:O11" si="6">G8*$H$15</f>
        <v>4561.9834710743771</v>
      </c>
      <c r="P8" s="26">
        <f>E23</f>
        <v>0</v>
      </c>
      <c r="Q8" s="5">
        <f t="shared" si="4"/>
        <v>3399.9999999999968</v>
      </c>
      <c r="R8" s="5">
        <f t="shared" si="5"/>
        <v>3400</v>
      </c>
      <c r="S8" s="5">
        <f>Q8-R8</f>
        <v>0</v>
      </c>
      <c r="T8" s="38">
        <f>'#16 Pricing NL + SOS fixed'!T8</f>
        <v>0</v>
      </c>
      <c r="Z8" s="29"/>
    </row>
    <row r="9" spans="3:26" x14ac:dyDescent="0.35">
      <c r="C9" s="1" t="s">
        <v>107</v>
      </c>
      <c r="D9" s="34">
        <f>'#15 Wind const + non linear'!D9</f>
        <v>100</v>
      </c>
      <c r="E9" s="34">
        <f>'#15 Wind const + non linear'!E9</f>
        <v>15</v>
      </c>
      <c r="F9" s="34">
        <f>'#15 Wind const + non linear'!F9</f>
        <v>110</v>
      </c>
      <c r="G9" s="27">
        <v>1</v>
      </c>
      <c r="H9" s="34">
        <f>'#15 Wind const + non linear'!H9</f>
        <v>500</v>
      </c>
      <c r="I9" s="25">
        <f t="shared" si="0"/>
        <v>15</v>
      </c>
      <c r="J9" s="25">
        <f t="shared" si="1"/>
        <v>100</v>
      </c>
      <c r="K9" s="13">
        <v>15</v>
      </c>
      <c r="L9" s="5">
        <f t="shared" si="2"/>
        <v>15</v>
      </c>
      <c r="M9" s="5">
        <f>F9*K9+G9*H9</f>
        <v>2150</v>
      </c>
      <c r="N9" s="5">
        <f t="shared" si="3"/>
        <v>-871.48760330578523</v>
      </c>
      <c r="O9" s="5">
        <f t="shared" si="6"/>
        <v>4561.9834710743771</v>
      </c>
      <c r="P9" s="26">
        <f>E24</f>
        <v>0</v>
      </c>
      <c r="Q9" s="5">
        <f t="shared" si="4"/>
        <v>3690.4958677685918</v>
      </c>
      <c r="R9" s="5">
        <f t="shared" si="5"/>
        <v>2150</v>
      </c>
      <c r="S9" s="5">
        <f>Q9-R9</f>
        <v>1540.4958677685918</v>
      </c>
      <c r="T9" s="38">
        <f>'#16 Pricing NL + SOS fixed'!T9</f>
        <v>1540.4958677685961</v>
      </c>
      <c r="Z9" s="29"/>
    </row>
    <row r="10" spans="3:26" x14ac:dyDescent="0.35">
      <c r="C10" s="1" t="s">
        <v>62</v>
      </c>
      <c r="D10" s="34">
        <f>'#15 Wind const + non linear'!D10</f>
        <v>100</v>
      </c>
      <c r="E10" s="34">
        <f>'#15 Wind const + non linear'!E10</f>
        <v>10</v>
      </c>
      <c r="F10" s="34">
        <f>'#15 Wind const + non linear'!F10</f>
        <v>250</v>
      </c>
      <c r="G10" s="27">
        <v>0</v>
      </c>
      <c r="H10" s="34">
        <f>'#15 Wind const + non linear'!H10</f>
        <v>200</v>
      </c>
      <c r="I10" s="25">
        <f t="shared" si="0"/>
        <v>0</v>
      </c>
      <c r="J10" s="25">
        <f t="shared" si="1"/>
        <v>0</v>
      </c>
      <c r="K10" s="13">
        <v>0</v>
      </c>
      <c r="L10" s="5">
        <f t="shared" si="2"/>
        <v>0</v>
      </c>
      <c r="M10" s="5">
        <f>F10*K10+G10*H10</f>
        <v>0</v>
      </c>
      <c r="N10" s="5">
        <f t="shared" si="3"/>
        <v>0</v>
      </c>
      <c r="O10" s="5">
        <f t="shared" si="6"/>
        <v>0</v>
      </c>
      <c r="P10" s="26">
        <f>F23</f>
        <v>0</v>
      </c>
      <c r="Q10" s="5">
        <f t="shared" si="4"/>
        <v>0</v>
      </c>
      <c r="R10" s="5">
        <f t="shared" si="5"/>
        <v>0</v>
      </c>
      <c r="S10" s="5">
        <f>Q10-R10</f>
        <v>0</v>
      </c>
      <c r="T10" s="38">
        <f>'#16 Pricing NL + SOS fixed'!T10</f>
        <v>0</v>
      </c>
      <c r="Z10" s="29" t="b">
        <f>$D$27&lt;=1</f>
        <v>1</v>
      </c>
    </row>
    <row r="11" spans="3:26" x14ac:dyDescent="0.35">
      <c r="C11" s="1" t="s">
        <v>63</v>
      </c>
      <c r="D11" s="34">
        <f>'#15 Wind const + non linear'!D11</f>
        <v>5</v>
      </c>
      <c r="E11" s="34">
        <f>'#15 Wind const + non linear'!E11</f>
        <v>5</v>
      </c>
      <c r="F11" s="34">
        <f>'#15 Wind const + non linear'!F11</f>
        <v>-20</v>
      </c>
      <c r="G11" s="27">
        <v>1</v>
      </c>
      <c r="H11" s="34">
        <f>'#15 Wind const + non linear'!H11</f>
        <v>200</v>
      </c>
      <c r="I11" s="25">
        <f t="shared" si="0"/>
        <v>5</v>
      </c>
      <c r="J11" s="25">
        <f t="shared" si="1"/>
        <v>5</v>
      </c>
      <c r="K11" s="13">
        <v>5</v>
      </c>
      <c r="L11" s="5">
        <f>-K11</f>
        <v>-5</v>
      </c>
      <c r="M11" s="5">
        <f>-F11*K11+G11*H11</f>
        <v>300</v>
      </c>
      <c r="N11" s="5">
        <f>-K11*$D$3</f>
        <v>290.49586776859508</v>
      </c>
      <c r="O11" s="5">
        <f t="shared" si="6"/>
        <v>4561.9834710743771</v>
      </c>
      <c r="P11" s="26">
        <f>G23</f>
        <v>0</v>
      </c>
      <c r="Q11" s="5">
        <f t="shared" si="4"/>
        <v>4852.4793388429725</v>
      </c>
      <c r="R11" s="5">
        <f>-K11*F11+G11*H11</f>
        <v>300</v>
      </c>
      <c r="S11" s="5">
        <f>Q11-R11</f>
        <v>4552.4793388429725</v>
      </c>
      <c r="T11" s="38">
        <f>'#16 Pricing NL + SOS fixed'!T11</f>
        <v>4552.4793388429734</v>
      </c>
      <c r="Z11" s="29" t="b">
        <f t="array" ref="Z11">$K$6:$K$11&gt;=$I$6:$I$11</f>
        <v>1</v>
      </c>
    </row>
    <row r="12" spans="3:26" x14ac:dyDescent="0.35">
      <c r="C12" s="1"/>
      <c r="D12" s="1"/>
      <c r="E12" s="1"/>
      <c r="F12" s="1" t="s">
        <v>44</v>
      </c>
      <c r="G12" s="34">
        <f>SUM(G7:G11)</f>
        <v>4</v>
      </c>
      <c r="H12" s="1"/>
      <c r="I12" s="1"/>
      <c r="J12" s="1" t="s">
        <v>11</v>
      </c>
      <c r="K12" s="1"/>
      <c r="L12" s="14">
        <f>SUM(L6:L11)</f>
        <v>2500</v>
      </c>
      <c r="M12" s="6">
        <f>SUM(M6:M11)</f>
        <v>-138550</v>
      </c>
      <c r="Z12" s="29" t="b">
        <f>$K$6&lt;=$F$21</f>
        <v>0</v>
      </c>
    </row>
    <row r="13" spans="3:26" x14ac:dyDescent="0.35">
      <c r="Z13" s="29" t="b">
        <f t="array" ref="Z13">$G$7:$G$11&gt;=0</f>
        <v>1</v>
      </c>
    </row>
    <row r="14" spans="3:26" ht="116" x14ac:dyDescent="0.35">
      <c r="C14" s="1" t="s">
        <v>12</v>
      </c>
      <c r="D14" s="16"/>
      <c r="E14" s="16"/>
      <c r="F14" s="16" t="s">
        <v>19</v>
      </c>
      <c r="G14" s="16" t="s">
        <v>5</v>
      </c>
      <c r="H14" s="16" t="s">
        <v>123</v>
      </c>
      <c r="K14" s="16" t="s">
        <v>99</v>
      </c>
      <c r="L14" s="16" t="s">
        <v>100</v>
      </c>
      <c r="M14" s="16" t="s">
        <v>101</v>
      </c>
      <c r="N14" s="16" t="s">
        <v>102</v>
      </c>
      <c r="O14" s="16" t="s">
        <v>104</v>
      </c>
      <c r="P14" s="16" t="s">
        <v>105</v>
      </c>
      <c r="Q14" s="16" t="s">
        <v>103</v>
      </c>
      <c r="R14" s="16" t="s">
        <v>106</v>
      </c>
      <c r="Z14" s="29" t="b">
        <f t="array" ref="Z14">$K$6:$K$11&lt;=$J$6:$J$11</f>
        <v>1</v>
      </c>
    </row>
    <row r="15" spans="3:26" x14ac:dyDescent="0.35">
      <c r="C15" s="14">
        <f>K6</f>
        <v>2450</v>
      </c>
      <c r="D15" s="2"/>
      <c r="E15" s="2"/>
      <c r="F15" s="7">
        <f>R20</f>
        <v>3600</v>
      </c>
      <c r="G15" s="46">
        <f>'#16 Pricing NL + SOS fixed'!G15</f>
        <v>-1.9008264462809905</v>
      </c>
      <c r="H15" s="46">
        <f>'#16 Pricing NL + SOS fixed'!H15</f>
        <v>4561.9834710743771</v>
      </c>
      <c r="K15" s="1">
        <v>0</v>
      </c>
      <c r="L15" s="34">
        <f>'#16 Pricing NL + SOS fixed'!L15</f>
        <v>0</v>
      </c>
      <c r="M15" s="1"/>
      <c r="N15" s="1"/>
      <c r="O15" s="1"/>
      <c r="P15" s="1"/>
      <c r="Q15" s="1"/>
      <c r="R15" s="1"/>
      <c r="Z15" s="29">
        <f>{32767,32767,0.000001,0.01,TRUE,FALSE,FALSE,1,2,1,0.0001,TRUE}</f>
        <v>32767</v>
      </c>
    </row>
    <row r="16" spans="3:26" x14ac:dyDescent="0.35">
      <c r="K16" s="1">
        <v>1</v>
      </c>
      <c r="L16" s="34">
        <f>'#16 Pricing NL + SOS fixed'!L16</f>
        <v>0</v>
      </c>
      <c r="M16" s="5">
        <v>0</v>
      </c>
      <c r="N16" s="34">
        <f>'#15 Wind const + non linear'!N16</f>
        <v>1</v>
      </c>
      <c r="O16" s="7">
        <f t="shared" ref="O16:O18" si="7">N17</f>
        <v>1</v>
      </c>
      <c r="P16" s="7">
        <f t="shared" ref="P16:P19" si="8">N16</f>
        <v>1</v>
      </c>
      <c r="Q16" s="4">
        <v>1</v>
      </c>
      <c r="R16" s="40">
        <f t="shared" ref="R16:R19" si="9">Q16*M16</f>
        <v>0</v>
      </c>
      <c r="Z16" s="29">
        <f>{0,0,2,100,0,FALSE,FALSE,0.075,0,0,FALSE,30}</f>
        <v>0</v>
      </c>
    </row>
    <row r="17" spans="3:18" x14ac:dyDescent="0.35">
      <c r="C17" s="1" t="s">
        <v>64</v>
      </c>
      <c r="D17" s="36">
        <f>G10+G11</f>
        <v>1</v>
      </c>
      <c r="K17" s="1">
        <v>2</v>
      </c>
      <c r="L17" s="34">
        <f>'#16 Pricing NL + SOS fixed'!L17</f>
        <v>0</v>
      </c>
      <c r="M17" s="7">
        <v>0</v>
      </c>
      <c r="N17" s="34">
        <f>'#15 Wind const + non linear'!N17</f>
        <v>1</v>
      </c>
      <c r="O17" s="7">
        <f t="shared" si="7"/>
        <v>1</v>
      </c>
      <c r="P17" s="7">
        <f t="shared" si="8"/>
        <v>1</v>
      </c>
      <c r="Q17" s="4">
        <v>1</v>
      </c>
      <c r="R17" s="40">
        <f t="shared" si="9"/>
        <v>0</v>
      </c>
    </row>
    <row r="18" spans="3:18" x14ac:dyDescent="0.35">
      <c r="K18" s="1">
        <v>3</v>
      </c>
      <c r="L18" s="34">
        <f>'#16 Pricing NL + SOS fixed'!L18</f>
        <v>1200</v>
      </c>
      <c r="M18" s="7">
        <f>(L18-L17)/(K18-K17)</f>
        <v>1200</v>
      </c>
      <c r="N18" s="34">
        <f>'#15 Wind const + non linear'!N18</f>
        <v>1</v>
      </c>
      <c r="O18" s="7">
        <f t="shared" si="7"/>
        <v>1</v>
      </c>
      <c r="P18" s="7">
        <f t="shared" si="8"/>
        <v>1</v>
      </c>
      <c r="Q18" s="4">
        <v>1</v>
      </c>
      <c r="R18" s="40">
        <f t="shared" si="9"/>
        <v>1200</v>
      </c>
    </row>
    <row r="19" spans="3:18" x14ac:dyDescent="0.35">
      <c r="K19" s="1">
        <v>4</v>
      </c>
      <c r="L19" s="34">
        <f>'#16 Pricing NL + SOS fixed'!L19</f>
        <v>3600</v>
      </c>
      <c r="M19" s="7">
        <f>(L19-L18)/(K19-K18)</f>
        <v>2400</v>
      </c>
      <c r="N19" s="34">
        <f>'#15 Wind const + non linear'!N19</f>
        <v>1</v>
      </c>
      <c r="O19" s="7">
        <v>0</v>
      </c>
      <c r="P19" s="7">
        <f t="shared" si="8"/>
        <v>1</v>
      </c>
      <c r="Q19" s="4">
        <v>1</v>
      </c>
      <c r="R19" s="40">
        <f t="shared" si="9"/>
        <v>2400</v>
      </c>
    </row>
    <row r="20" spans="3:18" ht="29" x14ac:dyDescent="0.35">
      <c r="C20" s="1"/>
      <c r="D20" s="16" t="str">
        <f>C7</f>
        <v>Gen 1</v>
      </c>
      <c r="E20" s="16" t="str">
        <f>C8</f>
        <v>Gen 2</v>
      </c>
      <c r="F20" s="16" t="str">
        <f>C10</f>
        <v>SSG 1 Gen mode</v>
      </c>
      <c r="G20" s="16" t="str">
        <f>C11</f>
        <v>SSG 1 Synch con mode</v>
      </c>
      <c r="H20" s="16" t="s">
        <v>81</v>
      </c>
      <c r="P20" s="1" t="s">
        <v>11</v>
      </c>
      <c r="Q20" s="37">
        <f>SUM(Q15:Q19)</f>
        <v>4</v>
      </c>
      <c r="R20" s="40">
        <f>SUM(R15:R19)</f>
        <v>3600</v>
      </c>
    </row>
    <row r="21" spans="3:18" x14ac:dyDescent="0.35">
      <c r="C21" s="1" t="s">
        <v>79</v>
      </c>
      <c r="D21" s="34">
        <f>'#15 Wind const + non linear'!D21</f>
        <v>0</v>
      </c>
      <c r="E21" s="34">
        <f>'#15 Wind const + non linear'!E21</f>
        <v>1</v>
      </c>
      <c r="F21" s="34">
        <f>'#15 Wind const + non linear'!F21</f>
        <v>1</v>
      </c>
      <c r="G21" s="34">
        <f>'#15 Wind const + non linear'!G21</f>
        <v>1</v>
      </c>
      <c r="H21" s="34">
        <f>'#15 Wind const + non linear'!H21</f>
        <v>0</v>
      </c>
    </row>
    <row r="22" spans="3:18" x14ac:dyDescent="0.35">
      <c r="C22" s="1" t="s">
        <v>93</v>
      </c>
      <c r="D22" s="25">
        <f>G7*D21</f>
        <v>0</v>
      </c>
      <c r="E22" s="25">
        <f>G8*E21</f>
        <v>1</v>
      </c>
      <c r="F22" s="25">
        <f>G10*F21</f>
        <v>0</v>
      </c>
      <c r="G22" s="25">
        <f>G11*G21</f>
        <v>1</v>
      </c>
      <c r="H22" s="35">
        <f>SUM(D22:G22)</f>
        <v>2</v>
      </c>
    </row>
    <row r="23" spans="3:18" x14ac:dyDescent="0.35">
      <c r="C23" s="1" t="s">
        <v>87</v>
      </c>
      <c r="D23" s="26">
        <f>D22*$D$25</f>
        <v>0</v>
      </c>
      <c r="E23" s="26">
        <f>E22*$D$25</f>
        <v>0</v>
      </c>
      <c r="F23" s="26">
        <f>F22*$D$25</f>
        <v>0</v>
      </c>
      <c r="G23" s="26">
        <f>G22*$D$25</f>
        <v>0</v>
      </c>
    </row>
    <row r="25" spans="3:18" x14ac:dyDescent="0.35">
      <c r="C25" s="1" t="s">
        <v>88</v>
      </c>
      <c r="D25" s="34">
        <f>'#16 Pricing NL + SOS fixed'!D25</f>
        <v>0</v>
      </c>
    </row>
    <row r="27" spans="3:18" x14ac:dyDescent="0.35">
      <c r="C27" s="1" t="s">
        <v>64</v>
      </c>
      <c r="D27" s="7">
        <f>G10+G11</f>
        <v>1</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C8DE601679B64A8312D58C48823AE7" ma:contentTypeVersion="13" ma:contentTypeDescription="Create a new document." ma:contentTypeScope="" ma:versionID="77c69ef34db68f13465c2cf0955174c8">
  <xsd:schema xmlns:xsd="http://www.w3.org/2001/XMLSchema" xmlns:xs="http://www.w3.org/2001/XMLSchema" xmlns:p="http://schemas.microsoft.com/office/2006/metadata/properties" xmlns:ns3="2c896bdc-10a7-4fff-91f7-458eb38a81db" xmlns:ns4="756b777a-f85c-47d8-9f1c-89a6119ad202" targetNamespace="http://schemas.microsoft.com/office/2006/metadata/properties" ma:root="true" ma:fieldsID="1148c251c43e81e43634724eb682fef1" ns3:_="" ns4:_="">
    <xsd:import namespace="2c896bdc-10a7-4fff-91f7-458eb38a81db"/>
    <xsd:import namespace="756b777a-f85c-47d8-9f1c-89a6119ad20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896bdc-10a7-4fff-91f7-458eb38a81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6b777a-f85c-47d8-9f1c-89a6119ad2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C19DAF-9FA4-4028-8572-50E26B27CACB}">
  <ds:schemaRefs>
    <ds:schemaRef ds:uri="http://schemas.microsoft.com/office/2006/documentManagement/types"/>
    <ds:schemaRef ds:uri="2c896bdc-10a7-4fff-91f7-458eb38a81db"/>
    <ds:schemaRef ds:uri="http://purl.org/dc/elements/1.1/"/>
    <ds:schemaRef ds:uri="http://schemas.microsoft.com/office/2006/metadata/properties"/>
    <ds:schemaRef ds:uri="756b777a-f85c-47d8-9f1c-89a6119ad202"/>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2C27670-1FD6-4DC8-8DDA-29A70307E846}">
  <ds:schemaRefs>
    <ds:schemaRef ds:uri="http://schemas.microsoft.com/sharepoint/v3/contenttype/forms"/>
  </ds:schemaRefs>
</ds:datastoreItem>
</file>

<file path=customXml/itemProps3.xml><?xml version="1.0" encoding="utf-8"?>
<ds:datastoreItem xmlns:ds="http://schemas.openxmlformats.org/officeDocument/2006/customXml" ds:itemID="{B1446BF7-F218-4690-952F-521E87B64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896bdc-10a7-4fff-91f7-458eb38a81db"/>
    <ds:schemaRef ds:uri="756b777a-f85c-47d8-9f1c-89a6119ad2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#1 SSG optimisation binary</vt:lpstr>
      <vt:lpstr>#2 Sensitivity Report</vt:lpstr>
      <vt:lpstr>#2 SSG optimisation</vt:lpstr>
      <vt:lpstr>#3 Sensitivity Report</vt:lpstr>
      <vt:lpstr>#3 SSG pricing from binary opt</vt:lpstr>
      <vt:lpstr>#4 Sensitivity Report</vt:lpstr>
      <vt:lpstr>#4 SSG optimisation 2 SSGs</vt:lpstr>
      <vt:lpstr>#5 Sensitivity Report</vt:lpstr>
      <vt:lpstr>#5 SSG optimisation 2 SSGs</vt:lpstr>
      <vt:lpstr>#6 Sensitivity Report</vt:lpstr>
      <vt:lpstr>#6 SSG optimisation partial</vt:lpstr>
      <vt:lpstr>#7 SSG optimisation #6 binary</vt:lpstr>
      <vt:lpstr>#8 Sensitivity Report</vt:lpstr>
      <vt:lpstr>#8 SSG optimisation SSGs fixed</vt:lpstr>
      <vt:lpstr>#9 Sensitivity Report</vt:lpstr>
      <vt:lpstr>#9 SSG and Synch Con</vt:lpstr>
      <vt:lpstr>#10 Sensitivity Report</vt:lpstr>
      <vt:lpstr>#10 SSG Mode optimisation</vt:lpstr>
      <vt:lpstr>#11 Sensitivity Report</vt:lpstr>
      <vt:lpstr>#11 SSG Mode optimisation</vt:lpstr>
      <vt:lpstr>#12 Sensitivity Report</vt:lpstr>
      <vt:lpstr>#12 SSG Mode optimisation</vt:lpstr>
      <vt:lpstr>#13 Sensitivity Report</vt:lpstr>
      <vt:lpstr>#13 SSG Mode Neg Price</vt:lpstr>
      <vt:lpstr>#14 Sensitivity Report</vt:lpstr>
      <vt:lpstr>#14 SSG System Configuration</vt:lpstr>
      <vt:lpstr>#15 Wind const + non linear</vt:lpstr>
      <vt:lpstr>#16 Sensitivity Report</vt:lpstr>
      <vt:lpstr>#16 Pricing NL + SOS fixed</vt:lpstr>
      <vt:lpstr>#17 Pricing NL + rounded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Synchronous Unit Optimisation</dc:title>
  <dc:creator>Stephen Wallace</dc:creator>
  <cp:lastModifiedBy>Colin Wain</cp:lastModifiedBy>
  <dcterms:created xsi:type="dcterms:W3CDTF">2021-06-09T10:09:38Z</dcterms:created>
  <dcterms:modified xsi:type="dcterms:W3CDTF">2021-10-21T05:21:33Z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0x01010080C8DE601679B64A8312D58C48823AE7</vt:lpwstr>
  </property>
  <property fmtid="{D5CDD505-2E9C-101B-9397-08002B2CF9AE}" pid="3" name="_dlc_DocIdItemGuid">
    <vt:lpwstr>9618f5e1-3f94-44fb-8621-71035e8a6489</vt:lpwstr>
  </property>
  <property fmtid="{D5CDD505-2E9C-101B-9397-08002B2CF9AE}" pid="4" name="TaxKeyword">
    <vt:lpwstr/>
  </property>
  <property fmtid="{D5CDD505-2E9C-101B-9397-08002B2CF9AE}" pid="5" name="Order">
    <vt:r8>38800</vt:r8>
  </property>
  <property fmtid="{D5CDD505-2E9C-101B-9397-08002B2CF9AE}" pid="6" name="Document_x0020_Type">
    <vt:lpwstr/>
  </property>
  <property fmtid="{D5CDD505-2E9C-101B-9397-08002B2CF9AE}" pid="7" name="Activity">
    <vt:lpwstr/>
  </property>
  <property fmtid="{D5CDD505-2E9C-101B-9397-08002B2CF9AE}" pid="8" name="Document Type">
    <vt:lpwstr/>
  </property>
</Properties>
</file>